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showInkAnnotation="0"/>
  <mc:AlternateContent xmlns:mc="http://schemas.openxmlformats.org/markup-compatibility/2006">
    <mc:Choice Requires="x15">
      <x15ac:absPath xmlns:x15ac="http://schemas.microsoft.com/office/spreadsheetml/2010/11/ac" url="C:\Users\wmedina\Desktop\"/>
    </mc:Choice>
  </mc:AlternateContent>
  <xr:revisionPtr revIDLastSave="0" documentId="13_ncr:1_{522CF750-F9A6-48F1-90F7-292BFADDAF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NDO MUNDIAL" sheetId="42" r:id="rId1"/>
    <sheet name="PROYECTO - CDC" sheetId="41" r:id="rId2"/>
    <sheet name="SUBVENCION" sheetId="39" r:id="rId3"/>
    <sheet name="DONACION" sheetId="40" r:id="rId4"/>
    <sheet name="CONTRAPARTIDA" sheetId="38" r:id="rId5"/>
    <sheet name="COVID" sheetId="46" r:id="rId6"/>
    <sheet name="Hoja2" sheetId="45" state="hidden" r:id="rId7"/>
  </sheets>
  <definedNames>
    <definedName name="_xlnm._FilterDatabase" localSheetId="4" hidden="1">CONTRAPARTIDA!$A$7:$R$676</definedName>
    <definedName name="_xlnm._FilterDatabase" localSheetId="3" hidden="1">DONACION!$B$6:$R$38</definedName>
    <definedName name="_xlnm._FilterDatabase" localSheetId="0" hidden="1">'FONDO MUNDIAL'!$A$7:$S$7</definedName>
    <definedName name="_xlnm._FilterDatabase" localSheetId="1" hidden="1">'PROYECTO - CDC'!$B$6:$Q$116</definedName>
    <definedName name="_xlnm._FilterDatabase" localSheetId="2" hidden="1">SUBVENCION!$B$6:$R$39</definedName>
    <definedName name="_xlnm.Print_Area" localSheetId="4">CONTRAPARTIDA!$A$1:$S$711</definedName>
    <definedName name="_xlnm.Print_Area" localSheetId="5">COVID!$A$1:$R$246</definedName>
    <definedName name="_xlnm.Print_Area" localSheetId="3">DONACION!$A$1:$R$77</definedName>
    <definedName name="_xlnm.Print_Area" localSheetId="0">'FONDO MUNDIAL'!$A$1:$Q$1341</definedName>
    <definedName name="_xlnm.Print_Area" localSheetId="1">'PROYECTO - CDC'!$A$1:$P$145</definedName>
    <definedName name="Print_Area" localSheetId="4">CONTRAPARTIDA!$B$3:$R$711</definedName>
    <definedName name="Print_Area" localSheetId="3">DONACION!$B$2:$R$77</definedName>
    <definedName name="Print_Area" localSheetId="0">'FONDO MUNDIAL'!$A$1:$R$1339</definedName>
    <definedName name="Print_Area" localSheetId="1">'PROYECTO - CDC'!$B$2:$Q$145</definedName>
    <definedName name="Print_Area" localSheetId="2">SUBVENCION!$B$2:$R$70</definedName>
    <definedName name="Print_Titles" localSheetId="4">CONTRAPARTIDA!$3:$7</definedName>
    <definedName name="Print_Titles" localSheetId="3">DONACION!$2:$6</definedName>
    <definedName name="Print_Titles" localSheetId="0">'FONDO MUNDIAL'!$2:$7</definedName>
    <definedName name="Print_Titles" localSheetId="1">'PROYECTO - CDC'!$2:$6</definedName>
    <definedName name="Print_Titles" localSheetId="2">SUBVENCION!$2:$6</definedName>
    <definedName name="Print_Titles">#REF!</definedName>
  </definedNames>
  <calcPr calcId="191029"/>
  <customWorkbookViews>
    <customWorkbookView name="jdelossantos - Vista personalizada" guid="{526C869E-0316-4E31-935D-E194C6985E02}" personalView="1" maximized="1" windowWidth="1020" windowHeight="565" activeSheetId="0" showComments="commNone"/>
  </customWorkbookViews>
</workbook>
</file>

<file path=xl/calcChain.xml><?xml version="1.0" encoding="utf-8"?>
<calcChain xmlns="http://schemas.openxmlformats.org/spreadsheetml/2006/main">
  <c r="Q1053" i="42" l="1"/>
  <c r="Q1054" i="42"/>
  <c r="Q1055" i="42"/>
  <c r="Q1056" i="42"/>
  <c r="Q1057" i="42"/>
  <c r="Q1058" i="42"/>
  <c r="Q1059" i="42"/>
  <c r="Q1060" i="42"/>
  <c r="Q1061" i="42"/>
  <c r="Q1062" i="42"/>
  <c r="Q1063" i="42"/>
  <c r="Q1064" i="42"/>
  <c r="Q1065" i="42"/>
  <c r="Q1066" i="42"/>
  <c r="Q1067" i="42"/>
  <c r="Q1068" i="42"/>
  <c r="Q1069" i="42"/>
  <c r="Q1070" i="42"/>
  <c r="Q1071" i="42"/>
  <c r="Q1072" i="42"/>
  <c r="Q1073" i="42"/>
  <c r="Q1074" i="42"/>
  <c r="Q1075" i="42"/>
  <c r="Q1076" i="42"/>
  <c r="Q1077" i="42"/>
  <c r="Q1078" i="42"/>
  <c r="Q1079" i="42"/>
  <c r="Q1080" i="42"/>
  <c r="Q1081" i="42"/>
  <c r="Q1082" i="42"/>
  <c r="Q1083" i="42"/>
  <c r="Q1084" i="42"/>
  <c r="Q1085" i="42"/>
  <c r="Q1086" i="42"/>
  <c r="Q1087" i="42"/>
  <c r="Q1088" i="42"/>
  <c r="Q1089" i="42"/>
  <c r="Q1090" i="42"/>
  <c r="Q1091" i="42"/>
  <c r="Q1092" i="42"/>
  <c r="Q1093" i="42"/>
  <c r="Q1094" i="42"/>
  <c r="Q1095" i="42"/>
  <c r="Q1096" i="42"/>
  <c r="Q1097" i="42"/>
  <c r="Q1098" i="42"/>
  <c r="Q1099" i="42"/>
  <c r="Q1100" i="42"/>
  <c r="Q1101" i="42"/>
  <c r="Q1102" i="42"/>
  <c r="Q1103" i="42"/>
  <c r="Q1104" i="42"/>
  <c r="Q1105" i="42"/>
  <c r="Q1106" i="42"/>
  <c r="Q1107" i="42"/>
  <c r="Q1108" i="42"/>
  <c r="Q1109" i="42"/>
  <c r="Q1110" i="42"/>
  <c r="Q1111" i="42"/>
  <c r="Q1112" i="42"/>
  <c r="Q1113" i="42"/>
  <c r="Q1114" i="42"/>
  <c r="Q1115" i="42"/>
  <c r="Q1116" i="42"/>
  <c r="Q1117" i="42"/>
  <c r="Q1118" i="42"/>
  <c r="Q1119" i="42"/>
  <c r="Q1120" i="42"/>
  <c r="Q1121" i="42"/>
  <c r="Q1122" i="42"/>
  <c r="Q1123" i="42"/>
  <c r="Q1124" i="42"/>
  <c r="Q1125" i="42"/>
  <c r="Q1126" i="42"/>
  <c r="Q1127" i="42"/>
  <c r="Q1128" i="42"/>
  <c r="Q1129" i="42"/>
  <c r="Q1130" i="42"/>
  <c r="Q1131" i="42"/>
  <c r="Q1132" i="42"/>
  <c r="Q1133" i="42"/>
  <c r="Q1134" i="42"/>
  <c r="Q1135" i="42"/>
  <c r="Q1136" i="42"/>
  <c r="Q1137" i="42"/>
  <c r="Q1138" i="42"/>
  <c r="Q1139" i="42"/>
  <c r="Q1140" i="42"/>
  <c r="Q1141" i="42"/>
  <c r="Q1142" i="42"/>
  <c r="Q1143" i="42"/>
  <c r="Q1144" i="42"/>
  <c r="Q1145" i="42"/>
  <c r="Q1146" i="42"/>
  <c r="Q1147" i="42"/>
  <c r="Q1148" i="42"/>
  <c r="Q1149" i="42"/>
  <c r="Q1150" i="42"/>
  <c r="Q1151" i="42"/>
  <c r="Q1152" i="42"/>
  <c r="Q1153" i="42"/>
  <c r="Q1154" i="42"/>
  <c r="Q1155" i="42"/>
  <c r="Q1156" i="42"/>
  <c r="Q1157" i="42"/>
  <c r="Q1158" i="42"/>
  <c r="Q1159" i="42"/>
  <c r="Q1160" i="42"/>
  <c r="Q1161" i="42"/>
  <c r="Q1162" i="42"/>
  <c r="Q1163" i="42"/>
  <c r="Q1164" i="42"/>
  <c r="Q1165" i="42"/>
  <c r="Q1166" i="42"/>
  <c r="Q1167" i="42"/>
  <c r="Q1168" i="42"/>
  <c r="Q1169" i="42"/>
  <c r="Q1170" i="42"/>
  <c r="Q1171" i="42"/>
  <c r="Q1172" i="42"/>
  <c r="Q1173" i="42"/>
  <c r="Q1174" i="42"/>
  <c r="Q1175" i="42"/>
  <c r="Q1176" i="42"/>
  <c r="Q1177" i="42"/>
  <c r="Q1178" i="42"/>
  <c r="Q1179" i="42"/>
  <c r="Q1180" i="42"/>
  <c r="Q1181" i="42"/>
  <c r="Q1182" i="42"/>
  <c r="Q1183" i="42"/>
  <c r="Q1184" i="42"/>
  <c r="Q1185" i="42"/>
  <c r="Q1186" i="42"/>
  <c r="Q1187" i="42"/>
  <c r="Q1188" i="42"/>
  <c r="Q1189" i="42"/>
  <c r="Q1190" i="42"/>
  <c r="Q1191" i="42"/>
  <c r="Q1192" i="42"/>
  <c r="Q1193" i="42"/>
  <c r="Q1194" i="42"/>
  <c r="Q1195" i="42"/>
  <c r="Q1196" i="42"/>
  <c r="Q1197" i="42"/>
  <c r="Q1198" i="42"/>
  <c r="Q1199" i="42"/>
  <c r="Q1200" i="42"/>
  <c r="Q1201" i="42"/>
  <c r="Q1202" i="42"/>
  <c r="Q1203" i="42"/>
  <c r="Q1204" i="42"/>
  <c r="Q1205" i="42"/>
  <c r="Q1206" i="42"/>
  <c r="Q1207" i="42"/>
  <c r="Q1208" i="42"/>
  <c r="Q1209" i="42"/>
  <c r="Q1210" i="42"/>
  <c r="Q1211" i="42"/>
  <c r="Q1212" i="42"/>
  <c r="Q1213" i="42"/>
  <c r="Q1214" i="42"/>
  <c r="Q1215" i="42"/>
  <c r="Q1216" i="42"/>
  <c r="Q1217" i="42"/>
  <c r="Q1218" i="42"/>
  <c r="Q1219" i="42"/>
  <c r="Q1220" i="42"/>
  <c r="Q1221" i="42"/>
  <c r="Q1222" i="42"/>
  <c r="Q1223" i="42"/>
  <c r="Q1224" i="42"/>
  <c r="Q1225" i="42"/>
  <c r="Q1226" i="42"/>
  <c r="Q1227" i="42"/>
  <c r="Q1228" i="42"/>
  <c r="Q1229" i="42"/>
  <c r="Q1230" i="42"/>
  <c r="Q1231" i="42"/>
  <c r="Q1232" i="42"/>
  <c r="Q1233" i="42"/>
  <c r="Q1234" i="42"/>
  <c r="Q1235" i="42"/>
  <c r="Q1236" i="42"/>
  <c r="Q1237" i="42"/>
  <c r="Q1238" i="42"/>
  <c r="Q1239" i="42"/>
  <c r="Q1240" i="42"/>
  <c r="Q1241" i="42"/>
  <c r="Q1242" i="42"/>
  <c r="Q1243" i="42"/>
  <c r="Q1244" i="42"/>
  <c r="Q1245" i="42"/>
  <c r="Q1246" i="42"/>
  <c r="Q1247" i="42"/>
  <c r="Q1248" i="42"/>
  <c r="Q1249" i="42"/>
  <c r="Q1250" i="42"/>
  <c r="Q1251" i="42"/>
  <c r="Q1252" i="42"/>
  <c r="Q1253" i="42"/>
  <c r="Q1254" i="42"/>
  <c r="Q1255" i="42"/>
  <c r="Q1256" i="42"/>
  <c r="Q1257" i="42"/>
  <c r="Q1258" i="42"/>
  <c r="Q1259" i="42"/>
  <c r="Q1260" i="42"/>
  <c r="Q1261" i="42"/>
  <c r="Q1262" i="42"/>
  <c r="Q1263" i="42"/>
  <c r="Q1264" i="42"/>
  <c r="Q1265" i="42"/>
  <c r="Q1266" i="42"/>
  <c r="Q1267" i="42"/>
  <c r="Q1268" i="42"/>
  <c r="Q1269" i="42"/>
  <c r="Q1270" i="42"/>
  <c r="Q1271" i="42"/>
  <c r="Q1272" i="42"/>
  <c r="Q1273" i="42"/>
  <c r="Q1274" i="42"/>
  <c r="Q1275" i="42"/>
  <c r="Q1276" i="42"/>
  <c r="Q1277" i="42"/>
  <c r="Q1278" i="42"/>
  <c r="Q1279" i="42"/>
  <c r="Q1280" i="42"/>
  <c r="Q1281" i="42"/>
  <c r="Q1282" i="42"/>
  <c r="Q1283" i="42"/>
  <c r="Q1284" i="42"/>
  <c r="Q1285" i="42"/>
  <c r="Q1286" i="42"/>
  <c r="Q1287" i="42"/>
  <c r="Q1288" i="42"/>
  <c r="Q1289" i="42"/>
  <c r="Q1290" i="42"/>
  <c r="Q1291" i="42"/>
  <c r="Q1292" i="42"/>
  <c r="Q1293" i="42"/>
  <c r="Q1294" i="42"/>
  <c r="Q1295" i="42"/>
  <c r="Q1296" i="42"/>
  <c r="Q1297" i="42"/>
  <c r="H231" i="46" l="1"/>
  <c r="H232" i="46"/>
  <c r="J227" i="46"/>
  <c r="H700" i="38" l="1"/>
  <c r="O223" i="46" l="1"/>
  <c r="P223" i="46" s="1"/>
  <c r="N223" i="46"/>
  <c r="L223" i="46"/>
  <c r="O222" i="46"/>
  <c r="N222" i="46"/>
  <c r="L222" i="46"/>
  <c r="O221" i="46"/>
  <c r="N221" i="46"/>
  <c r="L221" i="46"/>
  <c r="O220" i="46"/>
  <c r="N220" i="46"/>
  <c r="L220" i="46"/>
  <c r="O226" i="46"/>
  <c r="N226" i="46"/>
  <c r="L226" i="46"/>
  <c r="O225" i="46"/>
  <c r="N225" i="46"/>
  <c r="L225" i="46"/>
  <c r="O224" i="46"/>
  <c r="N224" i="46"/>
  <c r="L224" i="46"/>
  <c r="O219" i="46"/>
  <c r="P219" i="46" s="1"/>
  <c r="N219" i="46"/>
  <c r="L219" i="46"/>
  <c r="O218" i="46"/>
  <c r="N218" i="46"/>
  <c r="L218" i="46"/>
  <c r="O217" i="46"/>
  <c r="N217" i="46"/>
  <c r="L217" i="46"/>
  <c r="O216" i="46"/>
  <c r="N216" i="46"/>
  <c r="L216" i="46"/>
  <c r="O215" i="46"/>
  <c r="N215" i="46"/>
  <c r="L215" i="46"/>
  <c r="O214" i="46"/>
  <c r="N214" i="46"/>
  <c r="L214" i="46"/>
  <c r="O213" i="46"/>
  <c r="P213" i="46" s="1"/>
  <c r="N213" i="46"/>
  <c r="L213" i="46"/>
  <c r="O212" i="46"/>
  <c r="N212" i="46"/>
  <c r="L212" i="46"/>
  <c r="O211" i="46"/>
  <c r="N211" i="46"/>
  <c r="L211" i="46"/>
  <c r="O210" i="46"/>
  <c r="N210" i="46"/>
  <c r="L210" i="46"/>
  <c r="O209" i="46"/>
  <c r="N209" i="46"/>
  <c r="L209" i="46"/>
  <c r="O208" i="46"/>
  <c r="N208" i="46"/>
  <c r="L208" i="46"/>
  <c r="O207" i="46"/>
  <c r="N207" i="46"/>
  <c r="L207" i="46"/>
  <c r="O206" i="46"/>
  <c r="P206" i="46" s="1"/>
  <c r="N206" i="46"/>
  <c r="L206" i="46"/>
  <c r="O205" i="46"/>
  <c r="N205" i="46"/>
  <c r="L205" i="46"/>
  <c r="O204" i="46"/>
  <c r="N204" i="46"/>
  <c r="L204" i="46"/>
  <c r="O203" i="46"/>
  <c r="N203" i="46"/>
  <c r="L203" i="46"/>
  <c r="O202" i="46"/>
  <c r="N202" i="46"/>
  <c r="L202" i="46"/>
  <c r="O201" i="46"/>
  <c r="N201" i="46"/>
  <c r="L201" i="46"/>
  <c r="O200" i="46"/>
  <c r="N200" i="46"/>
  <c r="L200" i="46"/>
  <c r="O199" i="46"/>
  <c r="P199" i="46" s="1"/>
  <c r="N199" i="46"/>
  <c r="L199" i="46"/>
  <c r="O198" i="46"/>
  <c r="N198" i="46"/>
  <c r="L198" i="46"/>
  <c r="O197" i="46"/>
  <c r="N197" i="46"/>
  <c r="L197" i="46"/>
  <c r="O196" i="46"/>
  <c r="N196" i="46"/>
  <c r="L196" i="46"/>
  <c r="O195" i="46"/>
  <c r="N195" i="46"/>
  <c r="L195" i="46"/>
  <c r="O194" i="46"/>
  <c r="N194" i="46"/>
  <c r="L194" i="46"/>
  <c r="O193" i="46"/>
  <c r="P193" i="46" s="1"/>
  <c r="N193" i="46"/>
  <c r="L193" i="46"/>
  <c r="O192" i="46"/>
  <c r="N192" i="46"/>
  <c r="L192" i="46"/>
  <c r="O191" i="46"/>
  <c r="N191" i="46"/>
  <c r="L191" i="46"/>
  <c r="O190" i="46"/>
  <c r="N190" i="46"/>
  <c r="L190" i="46"/>
  <c r="O189" i="46"/>
  <c r="N189" i="46"/>
  <c r="L189" i="46"/>
  <c r="O188" i="46"/>
  <c r="N188" i="46"/>
  <c r="L188" i="46"/>
  <c r="O187" i="46"/>
  <c r="N187" i="46"/>
  <c r="L187" i="46"/>
  <c r="O186" i="46"/>
  <c r="P186" i="46" s="1"/>
  <c r="N186" i="46"/>
  <c r="L186" i="46"/>
  <c r="O185" i="46"/>
  <c r="N185" i="46"/>
  <c r="L185" i="46"/>
  <c r="O184" i="46"/>
  <c r="N184" i="46"/>
  <c r="L184" i="46"/>
  <c r="O183" i="46"/>
  <c r="N183" i="46"/>
  <c r="L183" i="46"/>
  <c r="O182" i="46"/>
  <c r="N182" i="46"/>
  <c r="L182" i="46"/>
  <c r="O181" i="46"/>
  <c r="N181" i="46"/>
  <c r="L181" i="46"/>
  <c r="O180" i="46"/>
  <c r="N180" i="46"/>
  <c r="L180" i="46"/>
  <c r="O179" i="46"/>
  <c r="N179" i="46"/>
  <c r="L179" i="46"/>
  <c r="O178" i="46"/>
  <c r="N178" i="46"/>
  <c r="L178" i="46"/>
  <c r="O177" i="46"/>
  <c r="N177" i="46"/>
  <c r="L177" i="46"/>
  <c r="O176" i="46"/>
  <c r="N176" i="46"/>
  <c r="L176" i="46"/>
  <c r="O175" i="46"/>
  <c r="N175" i="46"/>
  <c r="L175" i="46"/>
  <c r="O174" i="46"/>
  <c r="N174" i="46"/>
  <c r="L174" i="46"/>
  <c r="O173" i="46"/>
  <c r="P173" i="46" s="1"/>
  <c r="N173" i="46"/>
  <c r="L173" i="46"/>
  <c r="O172" i="46"/>
  <c r="N172" i="46"/>
  <c r="L172" i="46"/>
  <c r="O171" i="46"/>
  <c r="N171" i="46"/>
  <c r="L171" i="46"/>
  <c r="O170" i="46"/>
  <c r="N170" i="46"/>
  <c r="L170" i="46"/>
  <c r="O169" i="46"/>
  <c r="N169" i="46"/>
  <c r="L169" i="46"/>
  <c r="O168" i="46"/>
  <c r="N168" i="46"/>
  <c r="L168" i="46"/>
  <c r="O167" i="46"/>
  <c r="N167" i="46"/>
  <c r="L167" i="46"/>
  <c r="O166" i="46"/>
  <c r="N166" i="46"/>
  <c r="L166" i="46"/>
  <c r="O165" i="46"/>
  <c r="N165" i="46"/>
  <c r="L165" i="46"/>
  <c r="O164" i="46"/>
  <c r="N164" i="46"/>
  <c r="L164" i="46"/>
  <c r="O163" i="46"/>
  <c r="N163" i="46"/>
  <c r="L163" i="46"/>
  <c r="O162" i="46"/>
  <c r="N162" i="46"/>
  <c r="L162" i="46"/>
  <c r="O161" i="46"/>
  <c r="N161" i="46"/>
  <c r="L161" i="46"/>
  <c r="O160" i="46"/>
  <c r="N160" i="46"/>
  <c r="L160" i="46"/>
  <c r="O159" i="46"/>
  <c r="P159" i="46" s="1"/>
  <c r="N159" i="46"/>
  <c r="L159" i="46"/>
  <c r="O158" i="46"/>
  <c r="N158" i="46"/>
  <c r="L158" i="46"/>
  <c r="O157" i="46"/>
  <c r="N157" i="46"/>
  <c r="L157" i="46"/>
  <c r="O156" i="46"/>
  <c r="N156" i="46"/>
  <c r="L156" i="46"/>
  <c r="O155" i="46"/>
  <c r="N155" i="46"/>
  <c r="L155" i="46"/>
  <c r="O154" i="46"/>
  <c r="N154" i="46"/>
  <c r="L154" i="46"/>
  <c r="O153" i="46"/>
  <c r="P153" i="46" s="1"/>
  <c r="N153" i="46"/>
  <c r="L153" i="46"/>
  <c r="O152" i="46"/>
  <c r="N152" i="46"/>
  <c r="L152" i="46"/>
  <c r="O151" i="46"/>
  <c r="N151" i="46"/>
  <c r="L151" i="46"/>
  <c r="O150" i="46"/>
  <c r="N150" i="46"/>
  <c r="L150" i="46"/>
  <c r="O149" i="46"/>
  <c r="N149" i="46"/>
  <c r="L149" i="46"/>
  <c r="O148" i="46"/>
  <c r="N148" i="46"/>
  <c r="L148" i="46"/>
  <c r="O147" i="46"/>
  <c r="N147" i="46"/>
  <c r="L147" i="46"/>
  <c r="O146" i="46"/>
  <c r="P146" i="46" s="1"/>
  <c r="N146" i="46"/>
  <c r="L146" i="46"/>
  <c r="O145" i="46"/>
  <c r="N145" i="46"/>
  <c r="L145" i="46"/>
  <c r="O144" i="46"/>
  <c r="N144" i="46"/>
  <c r="L144" i="46"/>
  <c r="O143" i="46"/>
  <c r="N143" i="46"/>
  <c r="L143" i="46"/>
  <c r="O142" i="46"/>
  <c r="N142" i="46"/>
  <c r="L142" i="46"/>
  <c r="O141" i="46"/>
  <c r="N141" i="46"/>
  <c r="L141" i="46"/>
  <c r="O140" i="46"/>
  <c r="N140" i="46"/>
  <c r="L140" i="46"/>
  <c r="O139" i="46"/>
  <c r="P139" i="46" s="1"/>
  <c r="N139" i="46"/>
  <c r="L139" i="46"/>
  <c r="O138" i="46"/>
  <c r="N138" i="46"/>
  <c r="L138" i="46"/>
  <c r="O137" i="46"/>
  <c r="N137" i="46"/>
  <c r="L137" i="46"/>
  <c r="O136" i="46"/>
  <c r="N136" i="46"/>
  <c r="L136" i="46"/>
  <c r="O135" i="46"/>
  <c r="N135" i="46"/>
  <c r="L135" i="46"/>
  <c r="O134" i="46"/>
  <c r="N134" i="46"/>
  <c r="L134" i="46"/>
  <c r="O133" i="46"/>
  <c r="P133" i="46" s="1"/>
  <c r="N133" i="46"/>
  <c r="L133" i="46"/>
  <c r="O132" i="46"/>
  <c r="N132" i="46"/>
  <c r="L132" i="46"/>
  <c r="O131" i="46"/>
  <c r="N131" i="46"/>
  <c r="L131" i="46"/>
  <c r="O130" i="46"/>
  <c r="N130" i="46"/>
  <c r="L130" i="46"/>
  <c r="O129" i="46"/>
  <c r="N129" i="46"/>
  <c r="L129" i="46"/>
  <c r="O128" i="46"/>
  <c r="N128" i="46"/>
  <c r="L128" i="46"/>
  <c r="O127" i="46"/>
  <c r="N127" i="46"/>
  <c r="L127" i="46"/>
  <c r="O126" i="46"/>
  <c r="N126" i="46"/>
  <c r="L126" i="46"/>
  <c r="O125" i="46"/>
  <c r="N125" i="46"/>
  <c r="L125" i="46"/>
  <c r="O124" i="46"/>
  <c r="N124" i="46"/>
  <c r="L124" i="46"/>
  <c r="O123" i="46"/>
  <c r="N123" i="46"/>
  <c r="L123" i="46"/>
  <c r="O122" i="46"/>
  <c r="N122" i="46"/>
  <c r="L122" i="46"/>
  <c r="O121" i="46"/>
  <c r="N121" i="46"/>
  <c r="L121" i="46"/>
  <c r="O120" i="46"/>
  <c r="N120" i="46"/>
  <c r="L120" i="46"/>
  <c r="O119" i="46"/>
  <c r="N119" i="46"/>
  <c r="L119" i="46"/>
  <c r="O118" i="46"/>
  <c r="N118" i="46"/>
  <c r="L118" i="46"/>
  <c r="O117" i="46"/>
  <c r="N117" i="46"/>
  <c r="L117" i="46"/>
  <c r="O116" i="46"/>
  <c r="N116" i="46"/>
  <c r="L116" i="46"/>
  <c r="O115" i="46"/>
  <c r="N115" i="46"/>
  <c r="L115" i="46"/>
  <c r="O114" i="46"/>
  <c r="N114" i="46"/>
  <c r="L114" i="46"/>
  <c r="O113" i="46"/>
  <c r="P113" i="46" s="1"/>
  <c r="N113" i="46"/>
  <c r="L113" i="46"/>
  <c r="O112" i="46"/>
  <c r="N112" i="46"/>
  <c r="L112" i="46"/>
  <c r="O111" i="46"/>
  <c r="N111" i="46"/>
  <c r="L111" i="46"/>
  <c r="O110" i="46"/>
  <c r="N110" i="46"/>
  <c r="L110" i="46"/>
  <c r="O109" i="46"/>
  <c r="N109" i="46"/>
  <c r="L109" i="46"/>
  <c r="O108" i="46"/>
  <c r="N108" i="46"/>
  <c r="L108" i="46"/>
  <c r="O107" i="46"/>
  <c r="N107" i="46"/>
  <c r="L107" i="46"/>
  <c r="O106" i="46"/>
  <c r="N106" i="46"/>
  <c r="L106" i="46"/>
  <c r="O105" i="46"/>
  <c r="N105" i="46"/>
  <c r="L105" i="46"/>
  <c r="O104" i="46"/>
  <c r="N104" i="46"/>
  <c r="L104" i="46"/>
  <c r="O103" i="46"/>
  <c r="N103" i="46"/>
  <c r="L103" i="46"/>
  <c r="O102" i="46"/>
  <c r="N102" i="46"/>
  <c r="L102" i="46"/>
  <c r="O101" i="46"/>
  <c r="N101" i="46"/>
  <c r="L101" i="46"/>
  <c r="O100" i="46"/>
  <c r="N100" i="46"/>
  <c r="L100" i="46"/>
  <c r="O99" i="46"/>
  <c r="N99" i="46"/>
  <c r="L99" i="46"/>
  <c r="O98" i="46"/>
  <c r="N98" i="46"/>
  <c r="L98" i="46"/>
  <c r="O97" i="46"/>
  <c r="N97" i="46"/>
  <c r="L97" i="46"/>
  <c r="O96" i="46"/>
  <c r="N96" i="46"/>
  <c r="L96" i="46"/>
  <c r="O95" i="46"/>
  <c r="N95" i="46"/>
  <c r="L95" i="46"/>
  <c r="O94" i="46"/>
  <c r="N94" i="46"/>
  <c r="L94" i="46"/>
  <c r="O93" i="46"/>
  <c r="P93" i="46" s="1"/>
  <c r="N93" i="46"/>
  <c r="L93" i="46"/>
  <c r="O92" i="46"/>
  <c r="N92" i="46"/>
  <c r="L92" i="46"/>
  <c r="O91" i="46"/>
  <c r="N91" i="46"/>
  <c r="L91" i="46"/>
  <c r="O90" i="46"/>
  <c r="N90" i="46"/>
  <c r="L90" i="46"/>
  <c r="O89" i="46"/>
  <c r="N89" i="46"/>
  <c r="L89" i="46"/>
  <c r="O88" i="46"/>
  <c r="N88" i="46"/>
  <c r="L88" i="46"/>
  <c r="O87" i="46"/>
  <c r="N87" i="46"/>
  <c r="L87" i="46"/>
  <c r="O86" i="46"/>
  <c r="N86" i="46"/>
  <c r="L86" i="46"/>
  <c r="O85" i="46"/>
  <c r="N85" i="46"/>
  <c r="L85" i="46"/>
  <c r="O84" i="46"/>
  <c r="N84" i="46"/>
  <c r="L84" i="46"/>
  <c r="O83" i="46"/>
  <c r="N83" i="46"/>
  <c r="L83" i="46"/>
  <c r="O82" i="46"/>
  <c r="N82" i="46"/>
  <c r="L82" i="46"/>
  <c r="O81" i="46"/>
  <c r="N81" i="46"/>
  <c r="L81" i="46"/>
  <c r="O80" i="46"/>
  <c r="N80" i="46"/>
  <c r="L80" i="46"/>
  <c r="O79" i="46"/>
  <c r="N79" i="46"/>
  <c r="L79" i="46"/>
  <c r="O78" i="46"/>
  <c r="N78" i="46"/>
  <c r="L78" i="46"/>
  <c r="O77" i="46"/>
  <c r="N77" i="46"/>
  <c r="L77" i="46"/>
  <c r="O76" i="46"/>
  <c r="N76" i="46"/>
  <c r="L76" i="46"/>
  <c r="O75" i="46"/>
  <c r="N75" i="46"/>
  <c r="L75" i="46"/>
  <c r="O74" i="46"/>
  <c r="N74" i="46"/>
  <c r="L74" i="46"/>
  <c r="O73" i="46"/>
  <c r="P73" i="46" s="1"/>
  <c r="N73" i="46"/>
  <c r="L73" i="46"/>
  <c r="O72" i="46"/>
  <c r="N72" i="46"/>
  <c r="L72" i="46"/>
  <c r="O71" i="46"/>
  <c r="N71" i="46"/>
  <c r="L71" i="46"/>
  <c r="O70" i="46"/>
  <c r="N70" i="46"/>
  <c r="L70" i="46"/>
  <c r="O69" i="46"/>
  <c r="N69" i="46"/>
  <c r="L69" i="46"/>
  <c r="O68" i="46"/>
  <c r="N68" i="46"/>
  <c r="L68" i="46"/>
  <c r="O67" i="46"/>
  <c r="N67" i="46"/>
  <c r="L67" i="46"/>
  <c r="O66" i="46"/>
  <c r="N66" i="46"/>
  <c r="L66" i="46"/>
  <c r="O65" i="46"/>
  <c r="N65" i="46"/>
  <c r="L65" i="46"/>
  <c r="O64" i="46"/>
  <c r="N64" i="46"/>
  <c r="L64" i="46"/>
  <c r="O63" i="46"/>
  <c r="N63" i="46"/>
  <c r="L63" i="46"/>
  <c r="O62" i="46"/>
  <c r="N62" i="46"/>
  <c r="L62" i="46"/>
  <c r="O61" i="46"/>
  <c r="N61" i="46"/>
  <c r="L61" i="46"/>
  <c r="O60" i="46"/>
  <c r="N60" i="46"/>
  <c r="L60" i="46"/>
  <c r="O59" i="46"/>
  <c r="P59" i="46" s="1"/>
  <c r="N59" i="46"/>
  <c r="L59" i="46"/>
  <c r="O58" i="46"/>
  <c r="N58" i="46"/>
  <c r="L58" i="46"/>
  <c r="O57" i="46"/>
  <c r="N57" i="46"/>
  <c r="L57" i="46"/>
  <c r="O56" i="46"/>
  <c r="N56" i="46"/>
  <c r="L56" i="46"/>
  <c r="O55" i="46"/>
  <c r="N55" i="46"/>
  <c r="L55" i="46"/>
  <c r="O54" i="46"/>
  <c r="N54" i="46"/>
  <c r="L54" i="46"/>
  <c r="O53" i="46"/>
  <c r="P53" i="46" s="1"/>
  <c r="N53" i="46"/>
  <c r="L53" i="46"/>
  <c r="O52" i="46"/>
  <c r="N52" i="46"/>
  <c r="L52" i="46"/>
  <c r="O51" i="46"/>
  <c r="N51" i="46"/>
  <c r="L51" i="46"/>
  <c r="O50" i="46"/>
  <c r="N50" i="46"/>
  <c r="L50" i="46"/>
  <c r="O49" i="46"/>
  <c r="N49" i="46"/>
  <c r="L49" i="46"/>
  <c r="O48" i="46"/>
  <c r="N48" i="46"/>
  <c r="L48" i="46"/>
  <c r="O47" i="46"/>
  <c r="N47" i="46"/>
  <c r="L47" i="46"/>
  <c r="O46" i="46"/>
  <c r="N46" i="46"/>
  <c r="L46" i="46"/>
  <c r="O45" i="46"/>
  <c r="N45" i="46"/>
  <c r="L45" i="46"/>
  <c r="O44" i="46"/>
  <c r="N44" i="46"/>
  <c r="L44" i="46"/>
  <c r="O43" i="46"/>
  <c r="N43" i="46"/>
  <c r="L43" i="46"/>
  <c r="O42" i="46"/>
  <c r="N42" i="46"/>
  <c r="L42" i="46"/>
  <c r="O41" i="46"/>
  <c r="N41" i="46"/>
  <c r="L41" i="46"/>
  <c r="O40" i="46"/>
  <c r="N40" i="46"/>
  <c r="L40" i="46"/>
  <c r="O39" i="46"/>
  <c r="P39" i="46" s="1"/>
  <c r="N39" i="46"/>
  <c r="L39" i="46"/>
  <c r="O38" i="46"/>
  <c r="N38" i="46"/>
  <c r="L38" i="46"/>
  <c r="O37" i="46"/>
  <c r="N37" i="46"/>
  <c r="L37" i="46"/>
  <c r="O36" i="46"/>
  <c r="N36" i="46"/>
  <c r="L36" i="46"/>
  <c r="O35" i="46"/>
  <c r="N35" i="46"/>
  <c r="L35" i="46"/>
  <c r="O34" i="46"/>
  <c r="N34" i="46"/>
  <c r="L34" i="46"/>
  <c r="O33" i="46"/>
  <c r="P33" i="46" s="1"/>
  <c r="N33" i="46"/>
  <c r="L33" i="46"/>
  <c r="O32" i="46"/>
  <c r="N32" i="46"/>
  <c r="L32" i="46"/>
  <c r="O31" i="46"/>
  <c r="N31" i="46"/>
  <c r="L31" i="46"/>
  <c r="O30" i="46"/>
  <c r="N30" i="46"/>
  <c r="L30" i="46"/>
  <c r="O29" i="46"/>
  <c r="N29" i="46"/>
  <c r="L29" i="46"/>
  <c r="O28" i="46"/>
  <c r="N28" i="46"/>
  <c r="L28" i="46"/>
  <c r="O27" i="46"/>
  <c r="N27" i="46"/>
  <c r="L27" i="46"/>
  <c r="O26" i="46"/>
  <c r="N26" i="46"/>
  <c r="L26" i="46"/>
  <c r="O25" i="46"/>
  <c r="N25" i="46"/>
  <c r="L25" i="46"/>
  <c r="O24" i="46"/>
  <c r="N24" i="46"/>
  <c r="L24" i="46"/>
  <c r="O23" i="46"/>
  <c r="N23" i="46"/>
  <c r="L23" i="46"/>
  <c r="O22" i="46"/>
  <c r="N22" i="46"/>
  <c r="L22" i="46"/>
  <c r="O21" i="46"/>
  <c r="N21" i="46"/>
  <c r="L21" i="46"/>
  <c r="O20" i="46"/>
  <c r="N20" i="46"/>
  <c r="L20" i="46"/>
  <c r="O19" i="46"/>
  <c r="P19" i="46" s="1"/>
  <c r="N19" i="46"/>
  <c r="L19" i="46"/>
  <c r="O18" i="46"/>
  <c r="N18" i="46"/>
  <c r="L18" i="46"/>
  <c r="O17" i="46"/>
  <c r="N17" i="46"/>
  <c r="L17" i="46"/>
  <c r="O16" i="46"/>
  <c r="N16" i="46"/>
  <c r="L16" i="46"/>
  <c r="O15" i="46"/>
  <c r="N15" i="46"/>
  <c r="L15" i="46"/>
  <c r="O14" i="46"/>
  <c r="N14" i="46"/>
  <c r="L14" i="46"/>
  <c r="O13" i="46"/>
  <c r="P13" i="46" s="1"/>
  <c r="N13" i="46"/>
  <c r="L13" i="46"/>
  <c r="O12" i="46"/>
  <c r="N12" i="46"/>
  <c r="L12" i="46"/>
  <c r="O11" i="46"/>
  <c r="N11" i="46"/>
  <c r="L11" i="46"/>
  <c r="O10" i="46"/>
  <c r="N10" i="46"/>
  <c r="L10" i="46"/>
  <c r="P72" i="46" l="1"/>
  <c r="P92" i="46"/>
  <c r="P112" i="46"/>
  <c r="P132" i="46"/>
  <c r="P79" i="46"/>
  <c r="P99" i="46"/>
  <c r="P168" i="46"/>
  <c r="P216" i="46"/>
  <c r="P100" i="46"/>
  <c r="P203" i="46"/>
  <c r="P14" i="46"/>
  <c r="P26" i="46"/>
  <c r="P46" i="46"/>
  <c r="P66" i="46"/>
  <c r="P86" i="46"/>
  <c r="P106" i="46"/>
  <c r="P126" i="46"/>
  <c r="P140" i="46"/>
  <c r="P180" i="46"/>
  <c r="P27" i="46"/>
  <c r="P187" i="46"/>
  <c r="P28" i="46"/>
  <c r="P209" i="46"/>
  <c r="P200" i="46"/>
  <c r="P114" i="46"/>
  <c r="P21" i="46"/>
  <c r="P141" i="46"/>
  <c r="P82" i="46"/>
  <c r="P149" i="46"/>
  <c r="P20" i="46"/>
  <c r="P87" i="46"/>
  <c r="P127" i="46"/>
  <c r="P54" i="46"/>
  <c r="P214" i="46"/>
  <c r="P121" i="46"/>
  <c r="P181" i="46"/>
  <c r="P128" i="46"/>
  <c r="P188" i="46"/>
  <c r="P15" i="46"/>
  <c r="P95" i="46"/>
  <c r="P62" i="46"/>
  <c r="P182" i="46"/>
  <c r="P89" i="46"/>
  <c r="P189" i="46"/>
  <c r="P36" i="46"/>
  <c r="P136" i="46"/>
  <c r="P43" i="46"/>
  <c r="P143" i="46"/>
  <c r="P90" i="46"/>
  <c r="P210" i="46"/>
  <c r="P77" i="46"/>
  <c r="P137" i="46"/>
  <c r="P197" i="46"/>
  <c r="P84" i="46"/>
  <c r="P124" i="46"/>
  <c r="P151" i="46"/>
  <c r="P78" i="46"/>
  <c r="P118" i="46"/>
  <c r="P158" i="46"/>
  <c r="P178" i="46"/>
  <c r="P198" i="46"/>
  <c r="P218" i="46"/>
  <c r="P80" i="46"/>
  <c r="P67" i="46"/>
  <c r="P35" i="46"/>
  <c r="P175" i="46"/>
  <c r="P122" i="46"/>
  <c r="P162" i="46"/>
  <c r="P129" i="46"/>
  <c r="P16" i="46"/>
  <c r="P56" i="46"/>
  <c r="P196" i="46"/>
  <c r="P23" i="46"/>
  <c r="P220" i="46"/>
  <c r="P30" i="46"/>
  <c r="P130" i="46"/>
  <c r="P17" i="46"/>
  <c r="P217" i="46"/>
  <c r="P64" i="46"/>
  <c r="P184" i="46"/>
  <c r="P71" i="46"/>
  <c r="P191" i="46"/>
  <c r="P58" i="46"/>
  <c r="P65" i="46"/>
  <c r="P85" i="46"/>
  <c r="P105" i="46"/>
  <c r="P125" i="46"/>
  <c r="P145" i="46"/>
  <c r="P165" i="46"/>
  <c r="P185" i="46"/>
  <c r="P205" i="46"/>
  <c r="P222" i="46"/>
  <c r="P60" i="46"/>
  <c r="P120" i="46"/>
  <c r="P47" i="46"/>
  <c r="P167" i="46"/>
  <c r="P94" i="46"/>
  <c r="P174" i="46"/>
  <c r="P41" i="46"/>
  <c r="P225" i="46"/>
  <c r="P88" i="46"/>
  <c r="P55" i="46"/>
  <c r="P115" i="46"/>
  <c r="P155" i="46"/>
  <c r="P42" i="46"/>
  <c r="P202" i="46"/>
  <c r="P29" i="46"/>
  <c r="P69" i="46"/>
  <c r="P96" i="46"/>
  <c r="P156" i="46"/>
  <c r="P176" i="46"/>
  <c r="P63" i="46"/>
  <c r="P163" i="46"/>
  <c r="P50" i="46"/>
  <c r="P110" i="46"/>
  <c r="P150" i="46"/>
  <c r="P117" i="46"/>
  <c r="P157" i="46"/>
  <c r="P104" i="46"/>
  <c r="P164" i="46"/>
  <c r="P221" i="46"/>
  <c r="P131" i="46"/>
  <c r="P171" i="46"/>
  <c r="P138" i="46"/>
  <c r="P45" i="46"/>
  <c r="P12" i="46"/>
  <c r="P32" i="46"/>
  <c r="P52" i="46"/>
  <c r="P152" i="46"/>
  <c r="P172" i="46"/>
  <c r="P192" i="46"/>
  <c r="P212" i="46"/>
  <c r="P224" i="46"/>
  <c r="P207" i="46"/>
  <c r="P74" i="46"/>
  <c r="P154" i="46"/>
  <c r="P81" i="46"/>
  <c r="P201" i="46"/>
  <c r="P68" i="46"/>
  <c r="P108" i="46"/>
  <c r="P135" i="46"/>
  <c r="P195" i="46"/>
  <c r="P22" i="46"/>
  <c r="P226" i="46"/>
  <c r="P169" i="46"/>
  <c r="P76" i="46"/>
  <c r="P103" i="46"/>
  <c r="P183" i="46"/>
  <c r="P10" i="46"/>
  <c r="P190" i="46"/>
  <c r="P37" i="46"/>
  <c r="P97" i="46"/>
  <c r="P177" i="46"/>
  <c r="P24" i="46"/>
  <c r="P204" i="46"/>
  <c r="P11" i="46"/>
  <c r="P51" i="46"/>
  <c r="P111" i="46"/>
  <c r="P18" i="46"/>
  <c r="P98" i="46"/>
  <c r="P25" i="46"/>
  <c r="P119" i="46"/>
  <c r="P179" i="46"/>
  <c r="P40" i="46"/>
  <c r="P160" i="46"/>
  <c r="P107" i="46"/>
  <c r="P147" i="46"/>
  <c r="P34" i="46"/>
  <c r="P134" i="46"/>
  <c r="P194" i="46"/>
  <c r="P61" i="46"/>
  <c r="P101" i="46"/>
  <c r="P161" i="46"/>
  <c r="P48" i="46"/>
  <c r="P148" i="46"/>
  <c r="P208" i="46"/>
  <c r="P75" i="46"/>
  <c r="P215" i="46"/>
  <c r="P102" i="46"/>
  <c r="P142" i="46"/>
  <c r="P49" i="46"/>
  <c r="P109" i="46"/>
  <c r="P116" i="46"/>
  <c r="P83" i="46"/>
  <c r="P123" i="46"/>
  <c r="P70" i="46"/>
  <c r="P170" i="46"/>
  <c r="P57" i="46"/>
  <c r="P44" i="46"/>
  <c r="P144" i="46"/>
  <c r="P31" i="46"/>
  <c r="P91" i="46"/>
  <c r="P211" i="46"/>
  <c r="P38" i="46"/>
  <c r="P166" i="46"/>
  <c r="L227" i="46"/>
  <c r="I231" i="46"/>
  <c r="I232" i="46"/>
  <c r="P227" i="46" l="1"/>
  <c r="L685" i="38"/>
  <c r="L677" i="38"/>
  <c r="L678" i="38"/>
  <c r="O678" i="38"/>
  <c r="N678" i="38"/>
  <c r="N677" i="38"/>
  <c r="O677" i="38"/>
  <c r="P677" i="38" l="1"/>
  <c r="Q677" i="38" s="1"/>
  <c r="P678" i="38"/>
  <c r="Q678" i="38" s="1"/>
  <c r="N685" i="38"/>
  <c r="O685" i="38" l="1"/>
  <c r="P685" i="38" l="1"/>
  <c r="Q685" i="38" s="1"/>
  <c r="O680" i="38"/>
  <c r="O681" i="38"/>
  <c r="O682" i="38"/>
  <c r="O683" i="38"/>
  <c r="O684" i="38"/>
  <c r="N680" i="38"/>
  <c r="N681" i="38"/>
  <c r="N682" i="38"/>
  <c r="N683" i="38"/>
  <c r="N684" i="38"/>
  <c r="L681" i="38"/>
  <c r="L682" i="38"/>
  <c r="L683" i="38"/>
  <c r="L684" i="38"/>
  <c r="L680" i="38"/>
  <c r="G1324" i="42"/>
  <c r="J1298" i="42"/>
  <c r="P682" i="38" l="1"/>
  <c r="P684" i="38"/>
  <c r="Q684" i="38" s="1"/>
  <c r="P683" i="38"/>
  <c r="Q683" i="38" s="1"/>
  <c r="P681" i="38"/>
  <c r="Q681" i="38" s="1"/>
  <c r="P680" i="38"/>
  <c r="Q680" i="38" s="1"/>
  <c r="Q682" i="38"/>
  <c r="O1270" i="42" l="1"/>
  <c r="O1271" i="42"/>
  <c r="O1272" i="42"/>
  <c r="O1273" i="42"/>
  <c r="O1274" i="42"/>
  <c r="O1275" i="42"/>
  <c r="O1276" i="42"/>
  <c r="O1277" i="42"/>
  <c r="O1278" i="42"/>
  <c r="O1279" i="42"/>
  <c r="O1280" i="42"/>
  <c r="O1281" i="42"/>
  <c r="O1282" i="42"/>
  <c r="O1283" i="42"/>
  <c r="O1284" i="42"/>
  <c r="O1285" i="42"/>
  <c r="O1286" i="42"/>
  <c r="O1287" i="42"/>
  <c r="O1288" i="42"/>
  <c r="O1289" i="42"/>
  <c r="O1290" i="42"/>
  <c r="O1291" i="42"/>
  <c r="O1292" i="42"/>
  <c r="O1293" i="42"/>
  <c r="O1294" i="42"/>
  <c r="O1295" i="42"/>
  <c r="O1296" i="42"/>
  <c r="O1297" i="42"/>
  <c r="N1270" i="42"/>
  <c r="N1271" i="42"/>
  <c r="N1272" i="42"/>
  <c r="N1273" i="42"/>
  <c r="N1274" i="42"/>
  <c r="N1275" i="42"/>
  <c r="N1276" i="42"/>
  <c r="N1277" i="42"/>
  <c r="N1278" i="42"/>
  <c r="N1279" i="42"/>
  <c r="N1280" i="42"/>
  <c r="N1281" i="42"/>
  <c r="N1282" i="42"/>
  <c r="N1283" i="42"/>
  <c r="N1284" i="42"/>
  <c r="N1285" i="42"/>
  <c r="N1286" i="42"/>
  <c r="N1287" i="42"/>
  <c r="N1288" i="42"/>
  <c r="N1289" i="42"/>
  <c r="N1290" i="42"/>
  <c r="N1291" i="42"/>
  <c r="N1292" i="42"/>
  <c r="N1293" i="42"/>
  <c r="N1294" i="42"/>
  <c r="N1295" i="42"/>
  <c r="N1296" i="42"/>
  <c r="N1297" i="42"/>
  <c r="L1271" i="42"/>
  <c r="L1272" i="42"/>
  <c r="L1273" i="42"/>
  <c r="L1274" i="42"/>
  <c r="L1275" i="42"/>
  <c r="L1276" i="42"/>
  <c r="L1277" i="42"/>
  <c r="L1278" i="42"/>
  <c r="L1279" i="42"/>
  <c r="L1280" i="42"/>
  <c r="L1281" i="42"/>
  <c r="L1282" i="42"/>
  <c r="L1283" i="42"/>
  <c r="L1284" i="42"/>
  <c r="L1285" i="42"/>
  <c r="L1286" i="42"/>
  <c r="L1287" i="42"/>
  <c r="L1288" i="42"/>
  <c r="L1289" i="42"/>
  <c r="L1290" i="42"/>
  <c r="L1291" i="42"/>
  <c r="L1292" i="42"/>
  <c r="L1293" i="42"/>
  <c r="L1294" i="42"/>
  <c r="L1295" i="42"/>
  <c r="L1296" i="42"/>
  <c r="L1297" i="42"/>
  <c r="L1270" i="42"/>
  <c r="O679" i="38"/>
  <c r="N679" i="38"/>
  <c r="L679" i="38"/>
  <c r="P679" i="38" l="1"/>
  <c r="Q679" i="38" s="1"/>
  <c r="N1269" i="42"/>
  <c r="N680" i="42"/>
  <c r="N681" i="42"/>
  <c r="N682" i="42"/>
  <c r="N683" i="42"/>
  <c r="N684" i="42"/>
  <c r="N685" i="42"/>
  <c r="N686" i="42"/>
  <c r="N687" i="42"/>
  <c r="N688" i="42"/>
  <c r="N689" i="42"/>
  <c r="N690" i="42"/>
  <c r="N691" i="42"/>
  <c r="N692" i="42"/>
  <c r="N693" i="42"/>
  <c r="N694" i="42"/>
  <c r="N695" i="42"/>
  <c r="N696" i="42"/>
  <c r="N697" i="42"/>
  <c r="N698" i="42"/>
  <c r="N699" i="42"/>
  <c r="N700" i="42"/>
  <c r="N701" i="42"/>
  <c r="N702" i="42"/>
  <c r="N703" i="42"/>
  <c r="N704" i="42"/>
  <c r="N705" i="42"/>
  <c r="N706" i="42"/>
  <c r="N707" i="42"/>
  <c r="N708" i="42"/>
  <c r="N709" i="42"/>
  <c r="N710" i="42"/>
  <c r="N711" i="42"/>
  <c r="N712" i="42"/>
  <c r="N713" i="42"/>
  <c r="N714" i="42"/>
  <c r="N715" i="42"/>
  <c r="N716" i="42"/>
  <c r="N717" i="42"/>
  <c r="N718" i="42"/>
  <c r="N719" i="42"/>
  <c r="N720" i="42"/>
  <c r="N721" i="42"/>
  <c r="N722" i="42"/>
  <c r="N723" i="42"/>
  <c r="N724" i="42"/>
  <c r="N725" i="42"/>
  <c r="N726" i="42"/>
  <c r="N727" i="42"/>
  <c r="N728" i="42"/>
  <c r="N729" i="42"/>
  <c r="N730" i="42"/>
  <c r="N731" i="42"/>
  <c r="N732" i="42"/>
  <c r="N733" i="42"/>
  <c r="N734" i="42"/>
  <c r="N735" i="42"/>
  <c r="N736" i="42"/>
  <c r="N737" i="42"/>
  <c r="N738" i="42"/>
  <c r="N739" i="42"/>
  <c r="N740" i="42"/>
  <c r="N741" i="42"/>
  <c r="N742" i="42"/>
  <c r="N743" i="42"/>
  <c r="N744" i="42"/>
  <c r="N745" i="42"/>
  <c r="N746" i="42"/>
  <c r="N747" i="42"/>
  <c r="N748" i="42"/>
  <c r="N749" i="42"/>
  <c r="N750" i="42"/>
  <c r="N751" i="42"/>
  <c r="N752" i="42"/>
  <c r="N753" i="42"/>
  <c r="N754" i="42"/>
  <c r="N755" i="42"/>
  <c r="N756" i="42"/>
  <c r="N757" i="42"/>
  <c r="N758" i="42"/>
  <c r="N759" i="42"/>
  <c r="N760" i="42"/>
  <c r="N761" i="42"/>
  <c r="N762" i="42"/>
  <c r="N763" i="42"/>
  <c r="N764" i="42"/>
  <c r="N765" i="42"/>
  <c r="N766" i="42"/>
  <c r="N767" i="42"/>
  <c r="N768" i="42"/>
  <c r="N769" i="42"/>
  <c r="N770" i="42"/>
  <c r="N771" i="42"/>
  <c r="N772" i="42"/>
  <c r="N773" i="42"/>
  <c r="N774" i="42"/>
  <c r="N775" i="42"/>
  <c r="N776" i="42"/>
  <c r="N777" i="42"/>
  <c r="N778" i="42"/>
  <c r="N779" i="42"/>
  <c r="N780" i="42"/>
  <c r="N781" i="42"/>
  <c r="N782" i="42"/>
  <c r="N783" i="42"/>
  <c r="N784" i="42"/>
  <c r="N785" i="42"/>
  <c r="N786" i="42"/>
  <c r="N787" i="42"/>
  <c r="N788" i="42"/>
  <c r="N789" i="42"/>
  <c r="N790" i="42"/>
  <c r="N791" i="42"/>
  <c r="N792" i="42"/>
  <c r="N793" i="42"/>
  <c r="N794" i="42"/>
  <c r="N795" i="42"/>
  <c r="N796" i="42"/>
  <c r="N797" i="42"/>
  <c r="N798" i="42"/>
  <c r="N799" i="42"/>
  <c r="N800" i="42"/>
  <c r="N801" i="42"/>
  <c r="N802" i="42"/>
  <c r="N803" i="42"/>
  <c r="N804" i="42"/>
  <c r="N805" i="42"/>
  <c r="N806" i="42"/>
  <c r="N807" i="42"/>
  <c r="N808" i="42"/>
  <c r="N809" i="42"/>
  <c r="N810" i="42"/>
  <c r="N811" i="42"/>
  <c r="N812" i="42"/>
  <c r="N813" i="42"/>
  <c r="N814" i="42"/>
  <c r="N815" i="42"/>
  <c r="N816" i="42"/>
  <c r="N817" i="42"/>
  <c r="N818" i="42"/>
  <c r="N819" i="42"/>
  <c r="N820" i="42"/>
  <c r="N821" i="42"/>
  <c r="N822" i="42"/>
  <c r="N823" i="42"/>
  <c r="N824" i="42"/>
  <c r="N825" i="42"/>
  <c r="N826" i="42"/>
  <c r="N827" i="42"/>
  <c r="N828" i="42"/>
  <c r="N829" i="42"/>
  <c r="N830" i="42"/>
  <c r="N831" i="42"/>
  <c r="N832" i="42"/>
  <c r="N833" i="42"/>
  <c r="N834" i="42"/>
  <c r="N835" i="42"/>
  <c r="N836" i="42"/>
  <c r="N837" i="42"/>
  <c r="N838" i="42"/>
  <c r="N839" i="42"/>
  <c r="N840" i="42"/>
  <c r="N841" i="42"/>
  <c r="N842" i="42"/>
  <c r="N843" i="42"/>
  <c r="N844" i="42"/>
  <c r="N845" i="42"/>
  <c r="N846" i="42"/>
  <c r="N847" i="42"/>
  <c r="N848" i="42"/>
  <c r="N849" i="42"/>
  <c r="N850" i="42"/>
  <c r="N851" i="42"/>
  <c r="N852" i="42"/>
  <c r="N853" i="42"/>
  <c r="N854" i="42"/>
  <c r="N855" i="42"/>
  <c r="N856" i="42"/>
  <c r="N857" i="42"/>
  <c r="N858" i="42"/>
  <c r="N859" i="42"/>
  <c r="N860" i="42"/>
  <c r="N861" i="42"/>
  <c r="N862" i="42"/>
  <c r="N863" i="42"/>
  <c r="N864" i="42"/>
  <c r="N865" i="42"/>
  <c r="N866" i="42"/>
  <c r="N867" i="42"/>
  <c r="N868" i="42"/>
  <c r="N869" i="42"/>
  <c r="N870" i="42"/>
  <c r="N871" i="42"/>
  <c r="N872" i="42"/>
  <c r="N873" i="42"/>
  <c r="N874" i="42"/>
  <c r="N875" i="42"/>
  <c r="N876" i="42"/>
  <c r="N877" i="42"/>
  <c r="N878" i="42"/>
  <c r="N879" i="42"/>
  <c r="N880" i="42"/>
  <c r="N881" i="42"/>
  <c r="N882" i="42"/>
  <c r="N883" i="42"/>
  <c r="N884" i="42"/>
  <c r="N885" i="42"/>
  <c r="N886" i="42"/>
  <c r="N887" i="42"/>
  <c r="N888" i="42"/>
  <c r="N889" i="42"/>
  <c r="N890" i="42"/>
  <c r="N891" i="42"/>
  <c r="N892" i="42"/>
  <c r="N893" i="42"/>
  <c r="N894" i="42"/>
  <c r="N895" i="42"/>
  <c r="N896" i="42"/>
  <c r="N897" i="42"/>
  <c r="N898" i="42"/>
  <c r="N899" i="42"/>
  <c r="N900" i="42"/>
  <c r="N901" i="42"/>
  <c r="N902" i="42"/>
  <c r="N903" i="42"/>
  <c r="N904" i="42"/>
  <c r="N905" i="42"/>
  <c r="N906" i="42"/>
  <c r="N907" i="42"/>
  <c r="N908" i="42"/>
  <c r="N909" i="42"/>
  <c r="N910" i="42"/>
  <c r="N911" i="42"/>
  <c r="N912" i="42"/>
  <c r="N913" i="42"/>
  <c r="N914" i="42"/>
  <c r="N915" i="42"/>
  <c r="N916" i="42"/>
  <c r="N917" i="42"/>
  <c r="N918" i="42"/>
  <c r="N919" i="42"/>
  <c r="N920" i="42"/>
  <c r="N921" i="42"/>
  <c r="N922" i="42"/>
  <c r="N923" i="42"/>
  <c r="N924" i="42"/>
  <c r="N925" i="42"/>
  <c r="N926" i="42"/>
  <c r="N927" i="42"/>
  <c r="N928" i="42"/>
  <c r="N929" i="42"/>
  <c r="N930" i="42"/>
  <c r="N931" i="42"/>
  <c r="N932" i="42"/>
  <c r="N933" i="42"/>
  <c r="N934" i="42"/>
  <c r="N935" i="42"/>
  <c r="N936" i="42"/>
  <c r="N937" i="42"/>
  <c r="N938" i="42"/>
  <c r="N939" i="42"/>
  <c r="N940" i="42"/>
  <c r="N941" i="42"/>
  <c r="N942" i="42"/>
  <c r="N943" i="42"/>
  <c r="N944" i="42"/>
  <c r="N945" i="42"/>
  <c r="N946" i="42"/>
  <c r="N947" i="42"/>
  <c r="N948" i="42"/>
  <c r="N949" i="42"/>
  <c r="N950" i="42"/>
  <c r="N951" i="42"/>
  <c r="N952" i="42"/>
  <c r="N953" i="42"/>
  <c r="N954" i="42"/>
  <c r="N955" i="42"/>
  <c r="N956" i="42"/>
  <c r="N957" i="42"/>
  <c r="N958" i="42"/>
  <c r="N959" i="42"/>
  <c r="N960" i="42"/>
  <c r="N961" i="42"/>
  <c r="N962" i="42"/>
  <c r="N963" i="42"/>
  <c r="N964" i="42"/>
  <c r="N965" i="42"/>
  <c r="N966" i="42"/>
  <c r="N967" i="42"/>
  <c r="N968" i="42"/>
  <c r="N969" i="42"/>
  <c r="N970" i="42"/>
  <c r="N971" i="42"/>
  <c r="N972" i="42"/>
  <c r="N973" i="42"/>
  <c r="N974" i="42"/>
  <c r="N975" i="42"/>
  <c r="N976" i="42"/>
  <c r="N977" i="42"/>
  <c r="N978" i="42"/>
  <c r="N979" i="42"/>
  <c r="N980" i="42"/>
  <c r="N981" i="42"/>
  <c r="N982" i="42"/>
  <c r="N983" i="42"/>
  <c r="N984" i="42"/>
  <c r="N985" i="42"/>
  <c r="N986" i="42"/>
  <c r="N987" i="42"/>
  <c r="N988" i="42"/>
  <c r="N989" i="42"/>
  <c r="N990" i="42"/>
  <c r="N991" i="42"/>
  <c r="N992" i="42"/>
  <c r="N993" i="42"/>
  <c r="N994" i="42"/>
  <c r="N995" i="42"/>
  <c r="N996" i="42"/>
  <c r="N997" i="42"/>
  <c r="N998" i="42"/>
  <c r="N999" i="42"/>
  <c r="N1000" i="42"/>
  <c r="N1001" i="42"/>
  <c r="N1002" i="42"/>
  <c r="N1003" i="42"/>
  <c r="N1004" i="42"/>
  <c r="N1005" i="42"/>
  <c r="N1006" i="42"/>
  <c r="N1007" i="42"/>
  <c r="N1008" i="42"/>
  <c r="N1009" i="42"/>
  <c r="N1010" i="42"/>
  <c r="N1011" i="42"/>
  <c r="N1012" i="42"/>
  <c r="N1013" i="42"/>
  <c r="N1014" i="42"/>
  <c r="N1015" i="42"/>
  <c r="N1016" i="42"/>
  <c r="N1017" i="42"/>
  <c r="N1018" i="42"/>
  <c r="N1019" i="42"/>
  <c r="N1020" i="42"/>
  <c r="N1021" i="42"/>
  <c r="N1022" i="42"/>
  <c r="N1023" i="42"/>
  <c r="N1024" i="42"/>
  <c r="N1025" i="42"/>
  <c r="N1026" i="42"/>
  <c r="N1027" i="42"/>
  <c r="N1028" i="42"/>
  <c r="N1029" i="42"/>
  <c r="N1030" i="42"/>
  <c r="N1031" i="42"/>
  <c r="N1032" i="42"/>
  <c r="N1033" i="42"/>
  <c r="N1034" i="42"/>
  <c r="N1035" i="42"/>
  <c r="N1036" i="42"/>
  <c r="N1037" i="42"/>
  <c r="N1038" i="42"/>
  <c r="N1039" i="42"/>
  <c r="N1040" i="42"/>
  <c r="N1041" i="42"/>
  <c r="N1042" i="42"/>
  <c r="N1043" i="42"/>
  <c r="N1044" i="42"/>
  <c r="N1045" i="42"/>
  <c r="N1046" i="42"/>
  <c r="N1047" i="42"/>
  <c r="N1048" i="42"/>
  <c r="N1049" i="42"/>
  <c r="N1050" i="42"/>
  <c r="N1051" i="42"/>
  <c r="N1052" i="42"/>
  <c r="N1053" i="42"/>
  <c r="N1054" i="42"/>
  <c r="N1055" i="42"/>
  <c r="N1056" i="42"/>
  <c r="N1057" i="42"/>
  <c r="N1058" i="42"/>
  <c r="N1059" i="42"/>
  <c r="N1060" i="42"/>
  <c r="N1061" i="42"/>
  <c r="N1062" i="42"/>
  <c r="N1063" i="42"/>
  <c r="N1064" i="42"/>
  <c r="N1065" i="42"/>
  <c r="N1066" i="42"/>
  <c r="N1067" i="42"/>
  <c r="N1068" i="42"/>
  <c r="N1069" i="42"/>
  <c r="N1070" i="42"/>
  <c r="N1071" i="42"/>
  <c r="N1072" i="42"/>
  <c r="N1073" i="42"/>
  <c r="N1074" i="42"/>
  <c r="N1075" i="42"/>
  <c r="N1076" i="42"/>
  <c r="N1077" i="42"/>
  <c r="N1078" i="42"/>
  <c r="N1079" i="42"/>
  <c r="N1080" i="42"/>
  <c r="N1081" i="42"/>
  <c r="N1082" i="42"/>
  <c r="N1083" i="42"/>
  <c r="N1084" i="42"/>
  <c r="N1085" i="42"/>
  <c r="N1086" i="42"/>
  <c r="N1087" i="42"/>
  <c r="N1088" i="42"/>
  <c r="N1089" i="42"/>
  <c r="N1090" i="42"/>
  <c r="N1091" i="42"/>
  <c r="N1092" i="42"/>
  <c r="N1093" i="42"/>
  <c r="N1094" i="42"/>
  <c r="N1095" i="42"/>
  <c r="N1096" i="42"/>
  <c r="N1097" i="42"/>
  <c r="N1098" i="42"/>
  <c r="N1099" i="42"/>
  <c r="N1100" i="42"/>
  <c r="N1101" i="42"/>
  <c r="N1102" i="42"/>
  <c r="N1103" i="42"/>
  <c r="N1104" i="42"/>
  <c r="N1105" i="42"/>
  <c r="N1106" i="42"/>
  <c r="N1107" i="42"/>
  <c r="N1108" i="42"/>
  <c r="N1109" i="42"/>
  <c r="N1110" i="42"/>
  <c r="N1111" i="42"/>
  <c r="N1112" i="42"/>
  <c r="N1113" i="42"/>
  <c r="N1114" i="42"/>
  <c r="N1115" i="42"/>
  <c r="N1116" i="42"/>
  <c r="N1117" i="42"/>
  <c r="N1118" i="42"/>
  <c r="N1119" i="42"/>
  <c r="N1120" i="42"/>
  <c r="N1121" i="42"/>
  <c r="N1122" i="42"/>
  <c r="N1123" i="42"/>
  <c r="N1124" i="42"/>
  <c r="N1125" i="42"/>
  <c r="N1126" i="42"/>
  <c r="N1127" i="42"/>
  <c r="N1128" i="42"/>
  <c r="N1129" i="42"/>
  <c r="N1130" i="42"/>
  <c r="N1131" i="42"/>
  <c r="N1132" i="42"/>
  <c r="N1133" i="42"/>
  <c r="N1134" i="42"/>
  <c r="N1135" i="42"/>
  <c r="N1136" i="42"/>
  <c r="N1137" i="42"/>
  <c r="N1138" i="42"/>
  <c r="N1139" i="42"/>
  <c r="N1140" i="42"/>
  <c r="N1141" i="42"/>
  <c r="N1142" i="42"/>
  <c r="N1143" i="42"/>
  <c r="N1144" i="42"/>
  <c r="N1145" i="42"/>
  <c r="N1146" i="42"/>
  <c r="N1147" i="42"/>
  <c r="N1148" i="42"/>
  <c r="N1149" i="42"/>
  <c r="N1150" i="42"/>
  <c r="N1151" i="42"/>
  <c r="N1152" i="42"/>
  <c r="N1153" i="42"/>
  <c r="N1154" i="42"/>
  <c r="N1155" i="42"/>
  <c r="N1156" i="42"/>
  <c r="N1157" i="42"/>
  <c r="N1158" i="42"/>
  <c r="N1159" i="42"/>
  <c r="N1160" i="42"/>
  <c r="N1161" i="42"/>
  <c r="N1162" i="42"/>
  <c r="N1163" i="42"/>
  <c r="N1164" i="42"/>
  <c r="N1165" i="42"/>
  <c r="N1166" i="42"/>
  <c r="N1167" i="42"/>
  <c r="N1168" i="42"/>
  <c r="N1169" i="42"/>
  <c r="N1170" i="42"/>
  <c r="N1171" i="42"/>
  <c r="N1172" i="42"/>
  <c r="N1173" i="42"/>
  <c r="N1174" i="42"/>
  <c r="N1175" i="42"/>
  <c r="N1176" i="42"/>
  <c r="N1177" i="42"/>
  <c r="N1178" i="42"/>
  <c r="N1179" i="42"/>
  <c r="N1180" i="42"/>
  <c r="N1181" i="42"/>
  <c r="N1182" i="42"/>
  <c r="N1183" i="42"/>
  <c r="N1184" i="42"/>
  <c r="N1185" i="42"/>
  <c r="N1186" i="42"/>
  <c r="N1187" i="42"/>
  <c r="N1188" i="42"/>
  <c r="N1189" i="42"/>
  <c r="N1190" i="42"/>
  <c r="N1191" i="42"/>
  <c r="N1192" i="42"/>
  <c r="N1193" i="42"/>
  <c r="N1194" i="42"/>
  <c r="N1195" i="42"/>
  <c r="N1196" i="42"/>
  <c r="N1197" i="42"/>
  <c r="N1198" i="42"/>
  <c r="N1199" i="42"/>
  <c r="N1200" i="42"/>
  <c r="N1201" i="42"/>
  <c r="N1202" i="42"/>
  <c r="N1203" i="42"/>
  <c r="N1204" i="42"/>
  <c r="N1205" i="42"/>
  <c r="N1206" i="42"/>
  <c r="N1207" i="42"/>
  <c r="N1208" i="42"/>
  <c r="N1209" i="42"/>
  <c r="N1210" i="42"/>
  <c r="N1211" i="42"/>
  <c r="N1212" i="42"/>
  <c r="N1213" i="42"/>
  <c r="N1214" i="42"/>
  <c r="N1215" i="42"/>
  <c r="N1216" i="42"/>
  <c r="N1217" i="42"/>
  <c r="N1218" i="42"/>
  <c r="N1219" i="42"/>
  <c r="N1220" i="42"/>
  <c r="N1221" i="42"/>
  <c r="N1222" i="42"/>
  <c r="N1223" i="42"/>
  <c r="N1224" i="42"/>
  <c r="N1225" i="42"/>
  <c r="N1226" i="42"/>
  <c r="N1227" i="42"/>
  <c r="N1228" i="42"/>
  <c r="N1229" i="42"/>
  <c r="N1230" i="42"/>
  <c r="N1231" i="42"/>
  <c r="N1232" i="42"/>
  <c r="N1233" i="42"/>
  <c r="N1234" i="42"/>
  <c r="N1235" i="42"/>
  <c r="N1236" i="42"/>
  <c r="N1237" i="42"/>
  <c r="N1238" i="42"/>
  <c r="N1239" i="42"/>
  <c r="N1240" i="42"/>
  <c r="N1241" i="42"/>
  <c r="N1242" i="42"/>
  <c r="N1243" i="42"/>
  <c r="N1244" i="42"/>
  <c r="N1245" i="42"/>
  <c r="N1246" i="42"/>
  <c r="N1247" i="42"/>
  <c r="N1248" i="42"/>
  <c r="N1249" i="42"/>
  <c r="N1250" i="42"/>
  <c r="N1251" i="42"/>
  <c r="N1252" i="42"/>
  <c r="N1253" i="42"/>
  <c r="N1254" i="42"/>
  <c r="N1255" i="42"/>
  <c r="N1256" i="42"/>
  <c r="N1257" i="42"/>
  <c r="N1258" i="42"/>
  <c r="N1259" i="42"/>
  <c r="N1260" i="42"/>
  <c r="N1261" i="42"/>
  <c r="N1262" i="42"/>
  <c r="N1263" i="42"/>
  <c r="N1264" i="42"/>
  <c r="N1265" i="42"/>
  <c r="N1266" i="42"/>
  <c r="N1267" i="42"/>
  <c r="N1268" i="42"/>
  <c r="H699" i="38" l="1"/>
  <c r="O623" i="38"/>
  <c r="P623" i="38" s="1"/>
  <c r="N623" i="38"/>
  <c r="L623" i="38"/>
  <c r="O622" i="38"/>
  <c r="P622" i="38" s="1"/>
  <c r="N622" i="38"/>
  <c r="L622" i="38"/>
  <c r="O621" i="38"/>
  <c r="P621" i="38" s="1"/>
  <c r="N621" i="38"/>
  <c r="L621" i="38"/>
  <c r="O620" i="38"/>
  <c r="P620" i="38" s="1"/>
  <c r="N620" i="38"/>
  <c r="L620" i="38"/>
  <c r="O619" i="38"/>
  <c r="P619" i="38" s="1"/>
  <c r="N619" i="38"/>
  <c r="L619" i="38"/>
  <c r="O618" i="38"/>
  <c r="P618" i="38" s="1"/>
  <c r="N618" i="38"/>
  <c r="L618" i="38"/>
  <c r="O617" i="38"/>
  <c r="P617" i="38" s="1"/>
  <c r="N617" i="38"/>
  <c r="L617" i="38"/>
  <c r="O616" i="38"/>
  <c r="P616" i="38" s="1"/>
  <c r="N616" i="38"/>
  <c r="L616" i="38"/>
  <c r="O615" i="38"/>
  <c r="P615" i="38" s="1"/>
  <c r="N615" i="38"/>
  <c r="L615" i="38"/>
  <c r="O614" i="38"/>
  <c r="P614" i="38" s="1"/>
  <c r="N614" i="38"/>
  <c r="L614" i="38"/>
  <c r="O613" i="38"/>
  <c r="P613" i="38" s="1"/>
  <c r="N613" i="38"/>
  <c r="L613" i="38"/>
  <c r="O612" i="38"/>
  <c r="P612" i="38" s="1"/>
  <c r="N612" i="38"/>
  <c r="L612" i="38"/>
  <c r="O611" i="38"/>
  <c r="P611" i="38" s="1"/>
  <c r="N611" i="38"/>
  <c r="L611" i="38"/>
  <c r="O610" i="38"/>
  <c r="P610" i="38" s="1"/>
  <c r="N610" i="38"/>
  <c r="L610" i="38"/>
  <c r="O609" i="38"/>
  <c r="P609" i="38" s="1"/>
  <c r="N609" i="38"/>
  <c r="L609" i="38"/>
  <c r="O608" i="38"/>
  <c r="P608" i="38" s="1"/>
  <c r="N608" i="38"/>
  <c r="L608" i="38"/>
  <c r="O607" i="38"/>
  <c r="P607" i="38" s="1"/>
  <c r="N607" i="38"/>
  <c r="L607" i="38"/>
  <c r="O606" i="38"/>
  <c r="P606" i="38" s="1"/>
  <c r="N606" i="38"/>
  <c r="L606" i="38"/>
  <c r="O605" i="38"/>
  <c r="P605" i="38" s="1"/>
  <c r="N605" i="38"/>
  <c r="L605" i="38"/>
  <c r="O604" i="38"/>
  <c r="P604" i="38" s="1"/>
  <c r="N604" i="38"/>
  <c r="L604" i="38"/>
  <c r="O603" i="38"/>
  <c r="P603" i="38" s="1"/>
  <c r="N603" i="38"/>
  <c r="L603" i="38"/>
  <c r="O602" i="38"/>
  <c r="P602" i="38" s="1"/>
  <c r="N602" i="38"/>
  <c r="L602" i="38"/>
  <c r="O601" i="38"/>
  <c r="P601" i="38" s="1"/>
  <c r="N601" i="38"/>
  <c r="L601" i="38"/>
  <c r="O600" i="38"/>
  <c r="P600" i="38" s="1"/>
  <c r="N600" i="38"/>
  <c r="L600" i="38"/>
  <c r="O599" i="38"/>
  <c r="P599" i="38" s="1"/>
  <c r="N599" i="38"/>
  <c r="L599" i="38"/>
  <c r="O598" i="38"/>
  <c r="P598" i="38" s="1"/>
  <c r="N598" i="38"/>
  <c r="L598" i="38"/>
  <c r="O597" i="38"/>
  <c r="P597" i="38" s="1"/>
  <c r="N597" i="38"/>
  <c r="L597" i="38"/>
  <c r="O596" i="38"/>
  <c r="P596" i="38" s="1"/>
  <c r="N596" i="38"/>
  <c r="L596" i="38"/>
  <c r="O595" i="38"/>
  <c r="P595" i="38" s="1"/>
  <c r="N595" i="38"/>
  <c r="L595" i="38"/>
  <c r="O594" i="38"/>
  <c r="P594" i="38" s="1"/>
  <c r="N594" i="38"/>
  <c r="L594" i="38"/>
  <c r="O593" i="38"/>
  <c r="P593" i="38" s="1"/>
  <c r="N593" i="38"/>
  <c r="L593" i="38"/>
  <c r="O592" i="38"/>
  <c r="P592" i="38" s="1"/>
  <c r="N592" i="38"/>
  <c r="L592" i="38"/>
  <c r="O591" i="38"/>
  <c r="P591" i="38" s="1"/>
  <c r="N591" i="38"/>
  <c r="L591" i="38"/>
  <c r="O590" i="38"/>
  <c r="P590" i="38" s="1"/>
  <c r="N590" i="38"/>
  <c r="L590" i="38"/>
  <c r="O589" i="38"/>
  <c r="P589" i="38" s="1"/>
  <c r="N589" i="38"/>
  <c r="L589" i="38"/>
  <c r="O588" i="38"/>
  <c r="P588" i="38" s="1"/>
  <c r="N588" i="38"/>
  <c r="L588" i="38"/>
  <c r="O587" i="38"/>
  <c r="P587" i="38" s="1"/>
  <c r="N587" i="38"/>
  <c r="L587" i="38"/>
  <c r="O586" i="38"/>
  <c r="P586" i="38" s="1"/>
  <c r="N586" i="38"/>
  <c r="L586" i="38"/>
  <c r="O585" i="38"/>
  <c r="P585" i="38" s="1"/>
  <c r="N585" i="38"/>
  <c r="L585" i="38"/>
  <c r="O584" i="38"/>
  <c r="P584" i="38" s="1"/>
  <c r="N584" i="38"/>
  <c r="L584" i="38"/>
  <c r="O583" i="38"/>
  <c r="P583" i="38" s="1"/>
  <c r="N583" i="38"/>
  <c r="L583" i="38"/>
  <c r="O582" i="38"/>
  <c r="P582" i="38" s="1"/>
  <c r="N582" i="38"/>
  <c r="L582" i="38"/>
  <c r="O581" i="38"/>
  <c r="P581" i="38" s="1"/>
  <c r="N581" i="38"/>
  <c r="L581" i="38"/>
  <c r="O580" i="38"/>
  <c r="P580" i="38" s="1"/>
  <c r="N580" i="38"/>
  <c r="L580" i="38"/>
  <c r="O579" i="38"/>
  <c r="P579" i="38" s="1"/>
  <c r="N579" i="38"/>
  <c r="L579" i="38"/>
  <c r="O578" i="38"/>
  <c r="P578" i="38" s="1"/>
  <c r="N578" i="38"/>
  <c r="L578" i="38"/>
  <c r="O577" i="38"/>
  <c r="P577" i="38" s="1"/>
  <c r="N577" i="38"/>
  <c r="L577" i="38"/>
  <c r="O576" i="38"/>
  <c r="P576" i="38" s="1"/>
  <c r="N576" i="38"/>
  <c r="L576" i="38"/>
  <c r="O575" i="38"/>
  <c r="P575" i="38" s="1"/>
  <c r="N575" i="38"/>
  <c r="L575" i="38"/>
  <c r="O574" i="38"/>
  <c r="P574" i="38" s="1"/>
  <c r="N574" i="38"/>
  <c r="L574" i="38"/>
  <c r="O573" i="38"/>
  <c r="P573" i="38" s="1"/>
  <c r="N573" i="38"/>
  <c r="L573" i="38"/>
  <c r="O572" i="38"/>
  <c r="P572" i="38" s="1"/>
  <c r="N572" i="38"/>
  <c r="L572" i="38"/>
  <c r="O571" i="38"/>
  <c r="P571" i="38" s="1"/>
  <c r="N571" i="38"/>
  <c r="L571" i="38"/>
  <c r="O570" i="38"/>
  <c r="P570" i="38" s="1"/>
  <c r="N570" i="38"/>
  <c r="L570" i="38"/>
  <c r="O569" i="38"/>
  <c r="P569" i="38" s="1"/>
  <c r="N569" i="38"/>
  <c r="L569" i="38"/>
  <c r="O568" i="38"/>
  <c r="P568" i="38" s="1"/>
  <c r="N568" i="38"/>
  <c r="L568" i="38"/>
  <c r="O567" i="38"/>
  <c r="P567" i="38" s="1"/>
  <c r="N567" i="38"/>
  <c r="L567" i="38"/>
  <c r="O566" i="38"/>
  <c r="P566" i="38" s="1"/>
  <c r="N566" i="38"/>
  <c r="L566" i="38"/>
  <c r="O565" i="38"/>
  <c r="P565" i="38" s="1"/>
  <c r="N565" i="38"/>
  <c r="L565" i="38"/>
  <c r="O564" i="38"/>
  <c r="P564" i="38" s="1"/>
  <c r="N564" i="38"/>
  <c r="L564" i="38"/>
  <c r="O563" i="38"/>
  <c r="P563" i="38" s="1"/>
  <c r="N563" i="38"/>
  <c r="L563" i="38"/>
  <c r="O562" i="38"/>
  <c r="P562" i="38" s="1"/>
  <c r="N562" i="38"/>
  <c r="L562" i="38"/>
  <c r="O561" i="38"/>
  <c r="P561" i="38" s="1"/>
  <c r="N561" i="38"/>
  <c r="L561" i="38"/>
  <c r="O560" i="38"/>
  <c r="P560" i="38" s="1"/>
  <c r="N560" i="38"/>
  <c r="L560" i="38"/>
  <c r="O559" i="38"/>
  <c r="P559" i="38" s="1"/>
  <c r="N559" i="38"/>
  <c r="L559" i="38"/>
  <c r="O558" i="38"/>
  <c r="P558" i="38" s="1"/>
  <c r="N558" i="38"/>
  <c r="L558" i="38"/>
  <c r="O557" i="38"/>
  <c r="P557" i="38" s="1"/>
  <c r="N557" i="38"/>
  <c r="L557" i="38"/>
  <c r="O556" i="38"/>
  <c r="P556" i="38" s="1"/>
  <c r="N556" i="38"/>
  <c r="L556" i="38"/>
  <c r="O555" i="38"/>
  <c r="P555" i="38" s="1"/>
  <c r="N555" i="38"/>
  <c r="L555" i="38"/>
  <c r="O554" i="38"/>
  <c r="P554" i="38" s="1"/>
  <c r="N554" i="38"/>
  <c r="L554" i="38"/>
  <c r="O553" i="38"/>
  <c r="P553" i="38" s="1"/>
  <c r="N553" i="38"/>
  <c r="L553" i="38"/>
  <c r="O552" i="38"/>
  <c r="P552" i="38" s="1"/>
  <c r="N552" i="38"/>
  <c r="L552" i="38"/>
  <c r="O551" i="38"/>
  <c r="P551" i="38" s="1"/>
  <c r="N551" i="38"/>
  <c r="L551" i="38"/>
  <c r="O550" i="38"/>
  <c r="P550" i="38" s="1"/>
  <c r="N550" i="38"/>
  <c r="L550" i="38"/>
  <c r="O549" i="38"/>
  <c r="P549" i="38" s="1"/>
  <c r="N549" i="38"/>
  <c r="L549" i="38"/>
  <c r="O548" i="38"/>
  <c r="P548" i="38" s="1"/>
  <c r="N548" i="38"/>
  <c r="L548" i="38"/>
  <c r="O547" i="38"/>
  <c r="P547" i="38" s="1"/>
  <c r="N547" i="38"/>
  <c r="L547" i="38"/>
  <c r="O546" i="38"/>
  <c r="P546" i="38" s="1"/>
  <c r="N546" i="38"/>
  <c r="L546" i="38"/>
  <c r="O545" i="38"/>
  <c r="P545" i="38" s="1"/>
  <c r="N545" i="38"/>
  <c r="L545" i="38"/>
  <c r="O544" i="38"/>
  <c r="P544" i="38" s="1"/>
  <c r="N544" i="38"/>
  <c r="L544" i="38"/>
  <c r="O543" i="38"/>
  <c r="P543" i="38" s="1"/>
  <c r="N543" i="38"/>
  <c r="L543" i="38"/>
  <c r="O542" i="38"/>
  <c r="P542" i="38" s="1"/>
  <c r="N542" i="38"/>
  <c r="L542" i="38"/>
  <c r="O541" i="38"/>
  <c r="P541" i="38" s="1"/>
  <c r="N541" i="38"/>
  <c r="L541" i="38"/>
  <c r="O540" i="38"/>
  <c r="P540" i="38" s="1"/>
  <c r="N540" i="38"/>
  <c r="L540" i="38"/>
  <c r="O539" i="38"/>
  <c r="P539" i="38" s="1"/>
  <c r="N539" i="38"/>
  <c r="L539" i="38"/>
  <c r="O538" i="38"/>
  <c r="P538" i="38" s="1"/>
  <c r="N538" i="38"/>
  <c r="L538" i="38"/>
  <c r="O537" i="38"/>
  <c r="P537" i="38" s="1"/>
  <c r="N537" i="38"/>
  <c r="L537" i="38"/>
  <c r="O536" i="38"/>
  <c r="P536" i="38" s="1"/>
  <c r="N536" i="38"/>
  <c r="L536" i="38"/>
  <c r="O535" i="38"/>
  <c r="P535" i="38" s="1"/>
  <c r="N535" i="38"/>
  <c r="L535" i="38"/>
  <c r="O534" i="38"/>
  <c r="P534" i="38" s="1"/>
  <c r="N534" i="38"/>
  <c r="L534" i="38"/>
  <c r="O533" i="38"/>
  <c r="P533" i="38" s="1"/>
  <c r="N533" i="38"/>
  <c r="L533" i="38"/>
  <c r="O532" i="38"/>
  <c r="P532" i="38" s="1"/>
  <c r="N532" i="38"/>
  <c r="L532" i="38"/>
  <c r="O531" i="38"/>
  <c r="P531" i="38" s="1"/>
  <c r="N531" i="38"/>
  <c r="L531" i="38"/>
  <c r="O530" i="38"/>
  <c r="P530" i="38" s="1"/>
  <c r="N530" i="38"/>
  <c r="L530" i="38"/>
  <c r="O529" i="38"/>
  <c r="P529" i="38" s="1"/>
  <c r="N529" i="38"/>
  <c r="L529" i="38"/>
  <c r="O528" i="38"/>
  <c r="P528" i="38" s="1"/>
  <c r="N528" i="38"/>
  <c r="L528" i="38"/>
  <c r="O527" i="38"/>
  <c r="P527" i="38" s="1"/>
  <c r="N527" i="38"/>
  <c r="L527" i="38"/>
  <c r="O526" i="38"/>
  <c r="P526" i="38" s="1"/>
  <c r="N526" i="38"/>
  <c r="L526" i="38"/>
  <c r="O525" i="38"/>
  <c r="P525" i="38" s="1"/>
  <c r="N525" i="38"/>
  <c r="L525" i="38"/>
  <c r="Q539" i="38" l="1"/>
  <c r="Q579" i="38"/>
  <c r="Q584" i="38"/>
  <c r="Q544" i="38"/>
  <c r="Q531" i="38"/>
  <c r="Q591" i="38"/>
  <c r="Q604" i="38"/>
  <c r="Q551" i="38"/>
  <c r="Q564" i="38"/>
  <c r="Q538" i="38"/>
  <c r="Q558" i="38"/>
  <c r="Q578" i="38"/>
  <c r="Q598" i="38"/>
  <c r="Q527" i="38"/>
  <c r="Q547" i="38"/>
  <c r="Q532" i="38"/>
  <c r="Q552" i="38"/>
  <c r="Q572" i="38"/>
  <c r="Q612" i="38"/>
  <c r="Q607" i="38"/>
  <c r="Q526" i="38"/>
  <c r="Q546" i="38"/>
  <c r="Q611" i="38"/>
  <c r="Q618" i="38"/>
  <c r="Q619" i="38"/>
  <c r="Q606" i="38"/>
  <c r="Q592" i="38"/>
  <c r="Q559" i="38"/>
  <c r="Q586" i="38"/>
  <c r="Q599" i="38"/>
  <c r="Q560" i="38"/>
  <c r="Q580" i="38"/>
  <c r="Q600" i="38"/>
  <c r="Q620" i="38"/>
  <c r="Q540" i="38"/>
  <c r="Q567" i="38"/>
  <c r="Q571" i="38"/>
  <c r="Q566" i="38"/>
  <c r="Q617" i="38"/>
  <c r="Q525" i="38"/>
  <c r="Q553" i="38"/>
  <c r="Q528" i="38"/>
  <c r="Q541" i="38"/>
  <c r="Q561" i="38"/>
  <c r="Q581" i="38"/>
  <c r="Q588" i="38"/>
  <c r="Q601" i="38"/>
  <c r="Q621" i="38"/>
  <c r="Q597" i="38"/>
  <c r="Q577" i="38"/>
  <c r="Q545" i="38"/>
  <c r="Q565" i="38"/>
  <c r="Q585" i="38"/>
  <c r="Q605" i="38"/>
  <c r="Q613" i="38"/>
  <c r="Q529" i="38"/>
  <c r="Q549" i="38"/>
  <c r="Q569" i="38"/>
  <c r="Q589" i="38"/>
  <c r="Q609" i="38"/>
  <c r="Q537" i="38"/>
  <c r="Q557" i="38"/>
  <c r="Q533" i="38"/>
  <c r="Q573" i="38"/>
  <c r="Q593" i="38"/>
  <c r="Q587" i="38"/>
  <c r="Q534" i="38"/>
  <c r="Q536" i="38"/>
  <c r="Q543" i="38"/>
  <c r="Q563" i="38"/>
  <c r="Q583" i="38"/>
  <c r="Q603" i="38"/>
  <c r="Q556" i="38"/>
  <c r="Q576" i="38"/>
  <c r="Q596" i="38"/>
  <c r="Q616" i="38"/>
  <c r="Q623" i="38"/>
  <c r="Q530" i="38"/>
  <c r="Q554" i="38"/>
  <c r="Q574" i="38"/>
  <c r="Q594" i="38"/>
  <c r="Q614" i="38"/>
  <c r="Q535" i="38"/>
  <c r="Q548" i="38"/>
  <c r="Q568" i="38"/>
  <c r="Q608" i="38"/>
  <c r="Q555" i="38"/>
  <c r="Q575" i="38"/>
  <c r="Q595" i="38"/>
  <c r="Q615" i="38"/>
  <c r="Q542" i="38"/>
  <c r="Q562" i="38"/>
  <c r="Q582" i="38"/>
  <c r="Q602" i="38"/>
  <c r="Q622" i="38"/>
  <c r="Q550" i="38"/>
  <c r="Q570" i="38"/>
  <c r="Q590" i="38"/>
  <c r="Q610" i="38"/>
  <c r="L757" i="42" l="1"/>
  <c r="O866" i="42"/>
  <c r="O1244" i="42"/>
  <c r="O1245" i="42"/>
  <c r="O1246" i="42"/>
  <c r="L1244" i="42"/>
  <c r="L1245" i="42"/>
  <c r="L1246" i="42"/>
  <c r="O1263" i="42"/>
  <c r="O1264" i="42"/>
  <c r="O1265" i="42"/>
  <c r="O1266" i="42"/>
  <c r="O1267" i="42"/>
  <c r="O1268" i="42"/>
  <c r="O1269" i="42"/>
  <c r="L1264" i="42"/>
  <c r="L1265" i="42"/>
  <c r="L1266" i="42"/>
  <c r="L1267" i="42"/>
  <c r="L1268" i="42"/>
  <c r="L1269" i="42"/>
  <c r="L1263" i="42"/>
  <c r="O1158" i="42"/>
  <c r="L1158" i="42"/>
  <c r="L1157" i="42"/>
  <c r="O1157" i="42"/>
  <c r="O653" i="38" l="1"/>
  <c r="O654" i="38"/>
  <c r="O655" i="38"/>
  <c r="O656" i="38"/>
  <c r="O657" i="38"/>
  <c r="O658" i="38"/>
  <c r="O659" i="38"/>
  <c r="P659" i="38" s="1"/>
  <c r="O660" i="38"/>
  <c r="P660" i="38" s="1"/>
  <c r="O661" i="38"/>
  <c r="P661" i="38" s="1"/>
  <c r="O662" i="38"/>
  <c r="P662" i="38" s="1"/>
  <c r="O663" i="38"/>
  <c r="P663" i="38" s="1"/>
  <c r="O664" i="38"/>
  <c r="P664" i="38" s="1"/>
  <c r="O665" i="38"/>
  <c r="P665" i="38" s="1"/>
  <c r="O666" i="38"/>
  <c r="P666" i="38" s="1"/>
  <c r="O667" i="38"/>
  <c r="P667" i="38" s="1"/>
  <c r="O668" i="38"/>
  <c r="P668" i="38" s="1"/>
  <c r="O669" i="38"/>
  <c r="P669" i="38" s="1"/>
  <c r="O670" i="38"/>
  <c r="P670" i="38" s="1"/>
  <c r="O671" i="38"/>
  <c r="P671" i="38" s="1"/>
  <c r="O672" i="38"/>
  <c r="P672" i="38" s="1"/>
  <c r="O673" i="38"/>
  <c r="O674" i="38"/>
  <c r="O675" i="38"/>
  <c r="O676" i="38"/>
  <c r="O628" i="38"/>
  <c r="O629" i="38"/>
  <c r="O630" i="38"/>
  <c r="O631" i="38"/>
  <c r="O632" i="38"/>
  <c r="O633" i="38"/>
  <c r="O634" i="38"/>
  <c r="O635" i="38"/>
  <c r="O636" i="38"/>
  <c r="O637" i="38"/>
  <c r="O638" i="38"/>
  <c r="O639" i="38"/>
  <c r="P639" i="38" s="1"/>
  <c r="O640" i="38"/>
  <c r="P640" i="38" s="1"/>
  <c r="O641" i="38"/>
  <c r="P641" i="38" s="1"/>
  <c r="O642" i="38"/>
  <c r="P642" i="38" s="1"/>
  <c r="O643" i="38"/>
  <c r="P643" i="38" s="1"/>
  <c r="O644" i="38"/>
  <c r="O645" i="38"/>
  <c r="O646" i="38"/>
  <c r="O647" i="38"/>
  <c r="O648" i="38"/>
  <c r="O649" i="38"/>
  <c r="O650" i="38"/>
  <c r="O651" i="38"/>
  <c r="O652" i="38"/>
  <c r="N628" i="38"/>
  <c r="N629" i="38"/>
  <c r="N630" i="38"/>
  <c r="N631" i="38"/>
  <c r="N632" i="38"/>
  <c r="N633" i="38"/>
  <c r="N634" i="38"/>
  <c r="N635" i="38"/>
  <c r="N636" i="38"/>
  <c r="N637" i="38"/>
  <c r="N638" i="38"/>
  <c r="N639" i="38"/>
  <c r="N640" i="38"/>
  <c r="N641" i="38"/>
  <c r="N642" i="38"/>
  <c r="N643" i="38"/>
  <c r="N644" i="38"/>
  <c r="N645" i="38"/>
  <c r="N646" i="38"/>
  <c r="N647" i="38"/>
  <c r="N648" i="38"/>
  <c r="N649" i="38"/>
  <c r="N650" i="38"/>
  <c r="N651" i="38"/>
  <c r="N652" i="38"/>
  <c r="N653" i="38"/>
  <c r="N654" i="38"/>
  <c r="N655" i="38"/>
  <c r="N656" i="38"/>
  <c r="N657" i="38"/>
  <c r="N658" i="38"/>
  <c r="N659" i="38"/>
  <c r="N660" i="38"/>
  <c r="N661" i="38"/>
  <c r="N662" i="38"/>
  <c r="N663" i="38"/>
  <c r="N664" i="38"/>
  <c r="N665" i="38"/>
  <c r="N666" i="38"/>
  <c r="N667" i="38"/>
  <c r="N668" i="38"/>
  <c r="N669" i="38"/>
  <c r="N670" i="38"/>
  <c r="N671" i="38"/>
  <c r="N672" i="38"/>
  <c r="N673" i="38"/>
  <c r="N674" i="38"/>
  <c r="N675" i="38"/>
  <c r="N676" i="38"/>
  <c r="N627" i="38"/>
  <c r="L628" i="38"/>
  <c r="L629" i="38"/>
  <c r="L630" i="38"/>
  <c r="L631" i="38"/>
  <c r="L632" i="38"/>
  <c r="L633" i="38"/>
  <c r="L634" i="38"/>
  <c r="L635" i="38"/>
  <c r="L636" i="38"/>
  <c r="L637" i="38"/>
  <c r="L638" i="38"/>
  <c r="L639" i="38"/>
  <c r="L640" i="38"/>
  <c r="L641" i="38"/>
  <c r="L642" i="38"/>
  <c r="L643" i="38"/>
  <c r="L644" i="38"/>
  <c r="L645" i="38"/>
  <c r="L646" i="38"/>
  <c r="L647" i="38"/>
  <c r="L648" i="38"/>
  <c r="L649" i="38"/>
  <c r="L650" i="38"/>
  <c r="L651" i="38"/>
  <c r="L652" i="38"/>
  <c r="L653" i="38"/>
  <c r="L654" i="38"/>
  <c r="L655" i="38"/>
  <c r="L656" i="38"/>
  <c r="L657" i="38"/>
  <c r="L658" i="38"/>
  <c r="L659" i="38"/>
  <c r="L660" i="38"/>
  <c r="L661" i="38"/>
  <c r="L662" i="38"/>
  <c r="L663" i="38"/>
  <c r="L664" i="38"/>
  <c r="L665" i="38"/>
  <c r="L666" i="38"/>
  <c r="L667" i="38"/>
  <c r="L668" i="38"/>
  <c r="L669" i="38"/>
  <c r="L670" i="38"/>
  <c r="L671" i="38"/>
  <c r="L672" i="38"/>
  <c r="L673" i="38"/>
  <c r="L674" i="38"/>
  <c r="L675" i="38"/>
  <c r="L676" i="38"/>
  <c r="L627" i="38"/>
  <c r="P637" i="38" l="1"/>
  <c r="P658" i="38"/>
  <c r="Q658" i="38" s="1"/>
  <c r="P656" i="38"/>
  <c r="P635" i="38"/>
  <c r="Q635" i="38" s="1"/>
  <c r="P633" i="38"/>
  <c r="Q633" i="38" s="1"/>
  <c r="P652" i="38"/>
  <c r="P631" i="38"/>
  <c r="Q631" i="38" s="1"/>
  <c r="P630" i="38"/>
  <c r="P629" i="38"/>
  <c r="Q629" i="38" s="1"/>
  <c r="P628" i="38"/>
  <c r="Q628" i="38" s="1"/>
  <c r="P647" i="38"/>
  <c r="Q647" i="38" s="1"/>
  <c r="P646" i="38"/>
  <c r="Q646" i="38" s="1"/>
  <c r="P675" i="38"/>
  <c r="Q675" i="38" s="1"/>
  <c r="P655" i="38"/>
  <c r="Q655" i="38" s="1"/>
  <c r="P638" i="38"/>
  <c r="Q638" i="38" s="1"/>
  <c r="P634" i="38"/>
  <c r="Q634" i="38" s="1"/>
  <c r="P632" i="38"/>
  <c r="Q632" i="38" s="1"/>
  <c r="P651" i="38"/>
  <c r="Q651" i="38" s="1"/>
  <c r="P648" i="38"/>
  <c r="Q648" i="38" s="1"/>
  <c r="P676" i="38"/>
  <c r="Q676" i="38" s="1"/>
  <c r="P645" i="38"/>
  <c r="P674" i="38"/>
  <c r="P654" i="38"/>
  <c r="P636" i="38"/>
  <c r="I700" i="38"/>
  <c r="P650" i="38"/>
  <c r="P649" i="38"/>
  <c r="Q649" i="38" s="1"/>
  <c r="P657" i="38"/>
  <c r="Q657" i="38" s="1"/>
  <c r="P644" i="38"/>
  <c r="Q644" i="38" s="1"/>
  <c r="P673" i="38"/>
  <c r="Q673" i="38" s="1"/>
  <c r="P653" i="38"/>
  <c r="Q653" i="38" s="1"/>
  <c r="Q671" i="38"/>
  <c r="Q667" i="38"/>
  <c r="Q663" i="38"/>
  <c r="Q659" i="38"/>
  <c r="Q630" i="38"/>
  <c r="Q650" i="38"/>
  <c r="Q642" i="38"/>
  <c r="Q643" i="38"/>
  <c r="Q639" i="38"/>
  <c r="Q672" i="38"/>
  <c r="Q668" i="38"/>
  <c r="Q664" i="38"/>
  <c r="Q660" i="38"/>
  <c r="Q656" i="38"/>
  <c r="Q641" i="38"/>
  <c r="Q637" i="38"/>
  <c r="Q652" i="38"/>
  <c r="Q640" i="38"/>
  <c r="Q636" i="38"/>
  <c r="Q674" i="38"/>
  <c r="Q670" i="38"/>
  <c r="Q666" i="38"/>
  <c r="Q662" i="38"/>
  <c r="Q654" i="38"/>
  <c r="Q645" i="38"/>
  <c r="Q669" i="38"/>
  <c r="Q665" i="38"/>
  <c r="Q661" i="38"/>
  <c r="O627" i="38"/>
  <c r="O1256" i="42"/>
  <c r="O1257" i="42"/>
  <c r="O1258" i="42"/>
  <c r="O1259" i="42"/>
  <c r="O1260" i="42"/>
  <c r="O1261" i="42"/>
  <c r="O1262" i="42"/>
  <c r="L1256" i="42"/>
  <c r="L1257" i="42"/>
  <c r="L1258" i="42"/>
  <c r="L1259" i="42"/>
  <c r="L1260" i="42"/>
  <c r="L1261" i="42"/>
  <c r="L1262" i="42"/>
  <c r="L1255" i="42"/>
  <c r="O1255" i="42"/>
  <c r="O1160" i="42"/>
  <c r="O1161" i="42"/>
  <c r="O1162" i="42"/>
  <c r="O1163" i="42"/>
  <c r="O1164" i="42"/>
  <c r="O1165" i="42"/>
  <c r="O1166" i="42"/>
  <c r="O1167" i="42"/>
  <c r="O1168" i="42"/>
  <c r="O1169" i="42"/>
  <c r="O1170" i="42"/>
  <c r="O1171" i="42"/>
  <c r="O1172" i="42"/>
  <c r="O1173" i="42"/>
  <c r="O1174" i="42"/>
  <c r="O1175" i="42"/>
  <c r="O1176" i="42"/>
  <c r="O1177" i="42"/>
  <c r="O1178" i="42"/>
  <c r="O1179" i="42"/>
  <c r="O1180" i="42"/>
  <c r="O1181" i="42"/>
  <c r="O1182" i="42"/>
  <c r="O1183" i="42"/>
  <c r="O1184" i="42"/>
  <c r="O1185" i="42"/>
  <c r="O1186" i="42"/>
  <c r="O1187" i="42"/>
  <c r="O1188" i="42"/>
  <c r="O1189" i="42"/>
  <c r="O1190" i="42"/>
  <c r="O1191" i="42"/>
  <c r="O1192" i="42"/>
  <c r="O1193" i="42"/>
  <c r="O1194" i="42"/>
  <c r="O1195" i="42"/>
  <c r="O1196" i="42"/>
  <c r="O1197" i="42"/>
  <c r="O1198" i="42"/>
  <c r="O1199" i="42"/>
  <c r="O1200" i="42"/>
  <c r="O1201" i="42"/>
  <c r="O1202" i="42"/>
  <c r="O1203" i="42"/>
  <c r="O1204" i="42"/>
  <c r="O1205" i="42"/>
  <c r="O1206" i="42"/>
  <c r="O1207" i="42"/>
  <c r="O1208" i="42"/>
  <c r="O1209" i="42"/>
  <c r="O1210" i="42"/>
  <c r="O1211" i="42"/>
  <c r="O1212" i="42"/>
  <c r="O1213" i="42"/>
  <c r="O1214" i="42"/>
  <c r="O1215" i="42"/>
  <c r="O1216" i="42"/>
  <c r="O1217" i="42"/>
  <c r="O1218" i="42"/>
  <c r="O1219" i="42"/>
  <c r="O1220" i="42"/>
  <c r="O1221" i="42"/>
  <c r="O1222" i="42"/>
  <c r="O1223" i="42"/>
  <c r="O1224" i="42"/>
  <c r="O1225" i="42"/>
  <c r="O1226" i="42"/>
  <c r="O1227" i="42"/>
  <c r="O1228" i="42"/>
  <c r="O1229" i="42"/>
  <c r="O1230" i="42"/>
  <c r="O1231" i="42"/>
  <c r="O1232" i="42"/>
  <c r="O1233" i="42"/>
  <c r="O1234" i="42"/>
  <c r="O1235" i="42"/>
  <c r="O1236" i="42"/>
  <c r="O1237" i="42"/>
  <c r="O1238" i="42"/>
  <c r="O1239" i="42"/>
  <c r="O1240" i="42"/>
  <c r="O1241" i="42"/>
  <c r="O1242" i="42"/>
  <c r="O1243" i="42"/>
  <c r="O1247" i="42"/>
  <c r="O1248" i="42"/>
  <c r="O1249" i="42"/>
  <c r="O1250" i="42"/>
  <c r="O1251" i="42"/>
  <c r="O1252" i="42"/>
  <c r="O1253" i="42"/>
  <c r="O1254" i="42"/>
  <c r="L1160" i="42"/>
  <c r="L1161" i="42"/>
  <c r="L1162" i="42"/>
  <c r="L1163" i="42"/>
  <c r="L1164" i="42"/>
  <c r="L1165" i="42"/>
  <c r="L1166" i="42"/>
  <c r="L1167" i="42"/>
  <c r="L1168" i="42"/>
  <c r="L1169" i="42"/>
  <c r="L1170" i="42"/>
  <c r="L1171" i="42"/>
  <c r="L1172" i="42"/>
  <c r="L1173" i="42"/>
  <c r="L1174" i="42"/>
  <c r="L1175" i="42"/>
  <c r="L1176" i="42"/>
  <c r="L1177" i="42"/>
  <c r="L1178" i="42"/>
  <c r="L1179" i="42"/>
  <c r="L1180" i="42"/>
  <c r="L1181" i="42"/>
  <c r="L1182" i="42"/>
  <c r="L1183" i="42"/>
  <c r="L1184" i="42"/>
  <c r="L1185" i="42"/>
  <c r="L1186" i="42"/>
  <c r="L1187" i="42"/>
  <c r="L1188" i="42"/>
  <c r="L1189" i="42"/>
  <c r="L1190" i="42"/>
  <c r="L1191" i="42"/>
  <c r="L1192" i="42"/>
  <c r="L1193" i="42"/>
  <c r="L1194" i="42"/>
  <c r="L1195" i="42"/>
  <c r="L1196" i="42"/>
  <c r="L1197" i="42"/>
  <c r="L1198" i="42"/>
  <c r="L1199" i="42"/>
  <c r="L1200" i="42"/>
  <c r="L1201" i="42"/>
  <c r="L1202" i="42"/>
  <c r="L1203" i="42"/>
  <c r="L1204" i="42"/>
  <c r="L1205" i="42"/>
  <c r="L1206" i="42"/>
  <c r="L1207" i="42"/>
  <c r="L1208" i="42"/>
  <c r="L1209" i="42"/>
  <c r="L1210" i="42"/>
  <c r="L1211" i="42"/>
  <c r="L1212" i="42"/>
  <c r="L1213" i="42"/>
  <c r="L1214" i="42"/>
  <c r="L1215" i="42"/>
  <c r="L1216" i="42"/>
  <c r="L1217" i="42"/>
  <c r="L1218" i="42"/>
  <c r="L1219" i="42"/>
  <c r="L1220" i="42"/>
  <c r="L1221" i="42"/>
  <c r="L1222" i="42"/>
  <c r="L1223" i="42"/>
  <c r="L1224" i="42"/>
  <c r="L1225" i="42"/>
  <c r="L1226" i="42"/>
  <c r="L1227" i="42"/>
  <c r="L1228" i="42"/>
  <c r="L1229" i="42"/>
  <c r="L1230" i="42"/>
  <c r="L1231" i="42"/>
  <c r="L1232" i="42"/>
  <c r="L1233" i="42"/>
  <c r="L1234" i="42"/>
  <c r="L1235" i="42"/>
  <c r="L1236" i="42"/>
  <c r="L1237" i="42"/>
  <c r="L1238" i="42"/>
  <c r="L1239" i="42"/>
  <c r="L1240" i="42"/>
  <c r="L1241" i="42"/>
  <c r="L1242" i="42"/>
  <c r="L1243" i="42"/>
  <c r="L1247" i="42"/>
  <c r="L1248" i="42"/>
  <c r="L1249" i="42"/>
  <c r="L1250" i="42"/>
  <c r="L1251" i="42"/>
  <c r="L1252" i="42"/>
  <c r="L1253" i="42"/>
  <c r="L1254" i="42"/>
  <c r="L1159" i="42"/>
  <c r="O1159" i="42"/>
  <c r="N467" i="38"/>
  <c r="N466" i="38"/>
  <c r="L8" i="42"/>
  <c r="N8" i="42"/>
  <c r="O8" i="42"/>
  <c r="L9" i="42"/>
  <c r="N9" i="42"/>
  <c r="O9" i="42"/>
  <c r="L10" i="42"/>
  <c r="N10" i="42"/>
  <c r="O10" i="42"/>
  <c r="L11" i="42"/>
  <c r="N11" i="42"/>
  <c r="O11" i="42"/>
  <c r="L12" i="42"/>
  <c r="N12" i="42"/>
  <c r="O12" i="42"/>
  <c r="L13" i="42"/>
  <c r="N13" i="42"/>
  <c r="O13" i="42"/>
  <c r="L14" i="42"/>
  <c r="N14" i="42"/>
  <c r="O14" i="42"/>
  <c r="L15" i="42"/>
  <c r="N15" i="42"/>
  <c r="O15" i="42"/>
  <c r="L16" i="42"/>
  <c r="N16" i="42"/>
  <c r="O16" i="42"/>
  <c r="L17" i="42"/>
  <c r="N17" i="42"/>
  <c r="O17" i="42"/>
  <c r="L18" i="42"/>
  <c r="N18" i="42"/>
  <c r="O18" i="42"/>
  <c r="L19" i="42"/>
  <c r="N19" i="42"/>
  <c r="O19" i="42"/>
  <c r="L20" i="42"/>
  <c r="N20" i="42"/>
  <c r="O20" i="42"/>
  <c r="L21" i="42"/>
  <c r="N21" i="42"/>
  <c r="O21" i="42"/>
  <c r="L22" i="42"/>
  <c r="N22" i="42"/>
  <c r="O22" i="42"/>
  <c r="L23" i="42"/>
  <c r="N23" i="42"/>
  <c r="O23" i="42"/>
  <c r="L24" i="42"/>
  <c r="N24" i="42"/>
  <c r="O24" i="42"/>
  <c r="L25" i="42"/>
  <c r="N25" i="42"/>
  <c r="O25" i="42"/>
  <c r="L26" i="42"/>
  <c r="N26" i="42"/>
  <c r="O26" i="42"/>
  <c r="L27" i="42"/>
  <c r="N27" i="42"/>
  <c r="O27" i="42"/>
  <c r="L28" i="42"/>
  <c r="N28" i="42"/>
  <c r="O28" i="42"/>
  <c r="L29" i="42"/>
  <c r="N29" i="42"/>
  <c r="O29" i="42"/>
  <c r="L30" i="42"/>
  <c r="N30" i="42"/>
  <c r="O30" i="42"/>
  <c r="L31" i="42"/>
  <c r="N31" i="42"/>
  <c r="O31" i="42"/>
  <c r="L32" i="42"/>
  <c r="N32" i="42"/>
  <c r="O32" i="42"/>
  <c r="L33" i="42"/>
  <c r="N33" i="42"/>
  <c r="O33" i="42"/>
  <c r="L34" i="42"/>
  <c r="N34" i="42"/>
  <c r="O34" i="42"/>
  <c r="L35" i="42"/>
  <c r="N35" i="42"/>
  <c r="O35" i="42"/>
  <c r="L36" i="42"/>
  <c r="N36" i="42"/>
  <c r="O36" i="42"/>
  <c r="L37" i="42"/>
  <c r="N37" i="42"/>
  <c r="O37" i="42"/>
  <c r="L38" i="42"/>
  <c r="N38" i="42"/>
  <c r="O38" i="42"/>
  <c r="L39" i="42"/>
  <c r="N39" i="42"/>
  <c r="O39" i="42"/>
  <c r="L40" i="42"/>
  <c r="N40" i="42"/>
  <c r="O40" i="42"/>
  <c r="L41" i="42"/>
  <c r="N41" i="42"/>
  <c r="O41" i="42"/>
  <c r="L42" i="42"/>
  <c r="N42" i="42"/>
  <c r="O42" i="42"/>
  <c r="L43" i="42"/>
  <c r="N43" i="42"/>
  <c r="O43" i="42"/>
  <c r="L44" i="42"/>
  <c r="N44" i="42"/>
  <c r="O44" i="42"/>
  <c r="L45" i="42"/>
  <c r="N45" i="42"/>
  <c r="O45" i="42"/>
  <c r="L46" i="42"/>
  <c r="N46" i="42"/>
  <c r="O46" i="42"/>
  <c r="L47" i="42"/>
  <c r="N47" i="42"/>
  <c r="O47" i="42"/>
  <c r="L48" i="42"/>
  <c r="N48" i="42"/>
  <c r="O48" i="42"/>
  <c r="L49" i="42"/>
  <c r="N49" i="42"/>
  <c r="O49" i="42"/>
  <c r="L50" i="42"/>
  <c r="N50" i="42"/>
  <c r="O50" i="42"/>
  <c r="L51" i="42"/>
  <c r="N51" i="42"/>
  <c r="O51" i="42"/>
  <c r="L52" i="42"/>
  <c r="N52" i="42"/>
  <c r="O52" i="42"/>
  <c r="L53" i="42"/>
  <c r="N53" i="42"/>
  <c r="O53" i="42"/>
  <c r="L54" i="42"/>
  <c r="N54" i="42"/>
  <c r="O54" i="42"/>
  <c r="L55" i="42"/>
  <c r="N55" i="42"/>
  <c r="O55" i="42"/>
  <c r="L56" i="42"/>
  <c r="N56" i="42"/>
  <c r="O56" i="42"/>
  <c r="L57" i="42"/>
  <c r="N57" i="42"/>
  <c r="O57" i="42"/>
  <c r="L58" i="42"/>
  <c r="N58" i="42"/>
  <c r="O58" i="42"/>
  <c r="L59" i="42"/>
  <c r="N59" i="42"/>
  <c r="O59" i="42"/>
  <c r="L60" i="42"/>
  <c r="N60" i="42"/>
  <c r="O60" i="42"/>
  <c r="L61" i="42"/>
  <c r="N61" i="42"/>
  <c r="O61" i="42"/>
  <c r="L62" i="42"/>
  <c r="N62" i="42"/>
  <c r="O62" i="42"/>
  <c r="L63" i="42"/>
  <c r="N63" i="42"/>
  <c r="O63" i="42"/>
  <c r="L64" i="42"/>
  <c r="N64" i="42"/>
  <c r="O64" i="42"/>
  <c r="L65" i="42"/>
  <c r="N65" i="42"/>
  <c r="O65" i="42"/>
  <c r="L66" i="42"/>
  <c r="N66" i="42"/>
  <c r="O66" i="42"/>
  <c r="L67" i="42"/>
  <c r="N67" i="42"/>
  <c r="O67" i="42"/>
  <c r="L68" i="42"/>
  <c r="N68" i="42"/>
  <c r="O68" i="42"/>
  <c r="L69" i="42"/>
  <c r="N69" i="42"/>
  <c r="O69" i="42"/>
  <c r="L70" i="42"/>
  <c r="N70" i="42"/>
  <c r="O70" i="42"/>
  <c r="L71" i="42"/>
  <c r="N71" i="42"/>
  <c r="O71" i="42"/>
  <c r="L72" i="42"/>
  <c r="N72" i="42"/>
  <c r="O72" i="42"/>
  <c r="L73" i="42"/>
  <c r="N73" i="42"/>
  <c r="O73" i="42"/>
  <c r="L74" i="42"/>
  <c r="N74" i="42"/>
  <c r="O74" i="42"/>
  <c r="L75" i="42"/>
  <c r="N75" i="42"/>
  <c r="O75" i="42"/>
  <c r="L76" i="42"/>
  <c r="N76" i="42"/>
  <c r="O76" i="42"/>
  <c r="L77" i="42"/>
  <c r="N77" i="42"/>
  <c r="O77" i="42"/>
  <c r="L78" i="42"/>
  <c r="N78" i="42"/>
  <c r="O78" i="42"/>
  <c r="L79" i="42"/>
  <c r="N79" i="42"/>
  <c r="O79" i="42"/>
  <c r="L80" i="42"/>
  <c r="N80" i="42"/>
  <c r="O80" i="42"/>
  <c r="L81" i="42"/>
  <c r="N81" i="42"/>
  <c r="O81" i="42"/>
  <c r="L82" i="42"/>
  <c r="N82" i="42"/>
  <c r="O82" i="42"/>
  <c r="L83" i="42"/>
  <c r="N83" i="42"/>
  <c r="O83" i="42"/>
  <c r="L84" i="42"/>
  <c r="N84" i="42"/>
  <c r="O84" i="42"/>
  <c r="L85" i="42"/>
  <c r="N85" i="42"/>
  <c r="O85" i="42"/>
  <c r="L86" i="42"/>
  <c r="N86" i="42"/>
  <c r="O86" i="42"/>
  <c r="L87" i="42"/>
  <c r="N87" i="42"/>
  <c r="O87" i="42"/>
  <c r="L88" i="42"/>
  <c r="N88" i="42"/>
  <c r="O88" i="42"/>
  <c r="L89" i="42"/>
  <c r="N89" i="42"/>
  <c r="O89" i="42"/>
  <c r="L90" i="42"/>
  <c r="N90" i="42"/>
  <c r="O90" i="42"/>
  <c r="L91" i="42"/>
  <c r="N91" i="42"/>
  <c r="O91" i="42"/>
  <c r="L92" i="42"/>
  <c r="N92" i="42"/>
  <c r="O92" i="42"/>
  <c r="L93" i="42"/>
  <c r="N93" i="42"/>
  <c r="O93" i="42"/>
  <c r="L94" i="42"/>
  <c r="N94" i="42"/>
  <c r="O94" i="42"/>
  <c r="L95" i="42"/>
  <c r="N95" i="42"/>
  <c r="O95" i="42"/>
  <c r="L96" i="42"/>
  <c r="N96" i="42"/>
  <c r="O96" i="42"/>
  <c r="L97" i="42"/>
  <c r="N97" i="42"/>
  <c r="O97" i="42"/>
  <c r="L98" i="42"/>
  <c r="N98" i="42"/>
  <c r="O98" i="42"/>
  <c r="L99" i="42"/>
  <c r="N99" i="42"/>
  <c r="O99" i="42"/>
  <c r="L100" i="42"/>
  <c r="N100" i="42"/>
  <c r="O100" i="42"/>
  <c r="L101" i="42"/>
  <c r="N101" i="42"/>
  <c r="O101" i="42"/>
  <c r="L102" i="42"/>
  <c r="N102" i="42"/>
  <c r="O102" i="42"/>
  <c r="L103" i="42"/>
  <c r="N103" i="42"/>
  <c r="O103" i="42"/>
  <c r="L104" i="42"/>
  <c r="N104" i="42"/>
  <c r="O104" i="42"/>
  <c r="L105" i="42"/>
  <c r="N105" i="42"/>
  <c r="O105" i="42"/>
  <c r="L106" i="42"/>
  <c r="N106" i="42"/>
  <c r="O106" i="42"/>
  <c r="L107" i="42"/>
  <c r="N107" i="42"/>
  <c r="O107" i="42"/>
  <c r="L108" i="42"/>
  <c r="N108" i="42"/>
  <c r="O108" i="42"/>
  <c r="L109" i="42"/>
  <c r="N109" i="42"/>
  <c r="O109" i="42"/>
  <c r="L110" i="42"/>
  <c r="N110" i="42"/>
  <c r="O110" i="42"/>
  <c r="L111" i="42"/>
  <c r="N111" i="42"/>
  <c r="O111" i="42"/>
  <c r="L112" i="42"/>
  <c r="N112" i="42"/>
  <c r="O112" i="42"/>
  <c r="L113" i="42"/>
  <c r="N113" i="42"/>
  <c r="O113" i="42"/>
  <c r="L114" i="42"/>
  <c r="N114" i="42"/>
  <c r="O114" i="42"/>
  <c r="L115" i="42"/>
  <c r="N115" i="42"/>
  <c r="O115" i="42"/>
  <c r="L116" i="42"/>
  <c r="N116" i="42"/>
  <c r="O116" i="42"/>
  <c r="L117" i="42"/>
  <c r="N117" i="42"/>
  <c r="O117" i="42"/>
  <c r="L118" i="42"/>
  <c r="N118" i="42"/>
  <c r="O118" i="42"/>
  <c r="L119" i="42"/>
  <c r="N119" i="42"/>
  <c r="O119" i="42"/>
  <c r="L120" i="42"/>
  <c r="N120" i="42"/>
  <c r="O120" i="42"/>
  <c r="L121" i="42"/>
  <c r="N121" i="42"/>
  <c r="O121" i="42"/>
  <c r="L122" i="42"/>
  <c r="N122" i="42"/>
  <c r="O122" i="42"/>
  <c r="L123" i="42"/>
  <c r="N123" i="42"/>
  <c r="O123" i="42"/>
  <c r="L124" i="42"/>
  <c r="N124" i="42"/>
  <c r="O124" i="42"/>
  <c r="L125" i="42"/>
  <c r="N125" i="42"/>
  <c r="O125" i="42"/>
  <c r="L126" i="42"/>
  <c r="N126" i="42"/>
  <c r="O126" i="42"/>
  <c r="L127" i="42"/>
  <c r="N127" i="42"/>
  <c r="O127" i="42"/>
  <c r="L128" i="42"/>
  <c r="N128" i="42"/>
  <c r="O128" i="42"/>
  <c r="L129" i="42"/>
  <c r="N129" i="42"/>
  <c r="O129" i="42"/>
  <c r="L130" i="42"/>
  <c r="N130" i="42"/>
  <c r="O130" i="42"/>
  <c r="L131" i="42"/>
  <c r="N131" i="42"/>
  <c r="O131" i="42"/>
  <c r="L132" i="42"/>
  <c r="N132" i="42"/>
  <c r="O132" i="42"/>
  <c r="L133" i="42"/>
  <c r="N133" i="42"/>
  <c r="O133" i="42"/>
  <c r="L134" i="42"/>
  <c r="N134" i="42"/>
  <c r="O134" i="42"/>
  <c r="L135" i="42"/>
  <c r="N135" i="42"/>
  <c r="O135" i="42"/>
  <c r="L136" i="42"/>
  <c r="N136" i="42"/>
  <c r="O136" i="42"/>
  <c r="L137" i="42"/>
  <c r="N137" i="42"/>
  <c r="O137" i="42"/>
  <c r="L138" i="42"/>
  <c r="N138" i="42"/>
  <c r="O138" i="42"/>
  <c r="L139" i="42"/>
  <c r="N139" i="42"/>
  <c r="O139" i="42"/>
  <c r="L140" i="42"/>
  <c r="N140" i="42"/>
  <c r="O140" i="42"/>
  <c r="L141" i="42"/>
  <c r="N141" i="42"/>
  <c r="O141" i="42"/>
  <c r="L142" i="42"/>
  <c r="N142" i="42"/>
  <c r="O142" i="42"/>
  <c r="L143" i="42"/>
  <c r="N143" i="42"/>
  <c r="O143" i="42"/>
  <c r="L144" i="42"/>
  <c r="N144" i="42"/>
  <c r="O144" i="42"/>
  <c r="L145" i="42"/>
  <c r="N145" i="42"/>
  <c r="O145" i="42"/>
  <c r="L146" i="42"/>
  <c r="N146" i="42"/>
  <c r="O146" i="42"/>
  <c r="L147" i="42"/>
  <c r="N147" i="42"/>
  <c r="O147" i="42"/>
  <c r="L148" i="42"/>
  <c r="N148" i="42"/>
  <c r="O148" i="42"/>
  <c r="L149" i="42"/>
  <c r="N149" i="42"/>
  <c r="O149" i="42"/>
  <c r="L150" i="42"/>
  <c r="N150" i="42"/>
  <c r="O150" i="42"/>
  <c r="L151" i="42"/>
  <c r="N151" i="42"/>
  <c r="O151" i="42"/>
  <c r="L152" i="42"/>
  <c r="N152" i="42"/>
  <c r="O152" i="42"/>
  <c r="L153" i="42"/>
  <c r="N153" i="42"/>
  <c r="O153" i="42"/>
  <c r="L154" i="42"/>
  <c r="N154" i="42"/>
  <c r="O154" i="42"/>
  <c r="L155" i="42"/>
  <c r="N155" i="42"/>
  <c r="O155" i="42"/>
  <c r="L156" i="42"/>
  <c r="N156" i="42"/>
  <c r="O156" i="42"/>
  <c r="L157" i="42"/>
  <c r="N157" i="42"/>
  <c r="O157" i="42"/>
  <c r="L158" i="42"/>
  <c r="N158" i="42"/>
  <c r="O158" i="42"/>
  <c r="L159" i="42"/>
  <c r="N159" i="42"/>
  <c r="O159" i="42"/>
  <c r="L160" i="42"/>
  <c r="N160" i="42"/>
  <c r="O160" i="42"/>
  <c r="L161" i="42"/>
  <c r="N161" i="42"/>
  <c r="O161" i="42"/>
  <c r="L162" i="42"/>
  <c r="N162" i="42"/>
  <c r="O162" i="42"/>
  <c r="L163" i="42"/>
  <c r="N163" i="42"/>
  <c r="O163" i="42"/>
  <c r="L164" i="42"/>
  <c r="N164" i="42"/>
  <c r="O164" i="42"/>
  <c r="L165" i="42"/>
  <c r="N165" i="42"/>
  <c r="O165" i="42"/>
  <c r="L166" i="42"/>
  <c r="N166" i="42"/>
  <c r="O166" i="42"/>
  <c r="L167" i="42"/>
  <c r="N167" i="42"/>
  <c r="O167" i="42"/>
  <c r="L168" i="42"/>
  <c r="N168" i="42"/>
  <c r="O168" i="42"/>
  <c r="L169" i="42"/>
  <c r="N169" i="42"/>
  <c r="O169" i="42"/>
  <c r="L170" i="42"/>
  <c r="N170" i="42"/>
  <c r="O170" i="42"/>
  <c r="L171" i="42"/>
  <c r="N171" i="42"/>
  <c r="O171" i="42"/>
  <c r="L172" i="42"/>
  <c r="N172" i="42"/>
  <c r="O172" i="42"/>
  <c r="L173" i="42"/>
  <c r="N173" i="42"/>
  <c r="O173" i="42"/>
  <c r="L174" i="42"/>
  <c r="N174" i="42"/>
  <c r="O174" i="42"/>
  <c r="L175" i="42"/>
  <c r="N175" i="42"/>
  <c r="O175" i="42"/>
  <c r="L176" i="42"/>
  <c r="N176" i="42"/>
  <c r="O176" i="42"/>
  <c r="L177" i="42"/>
  <c r="N177" i="42"/>
  <c r="O177" i="42"/>
  <c r="L178" i="42"/>
  <c r="N178" i="42"/>
  <c r="O178" i="42"/>
  <c r="L179" i="42"/>
  <c r="N179" i="42"/>
  <c r="O179" i="42"/>
  <c r="L180" i="42"/>
  <c r="N180" i="42"/>
  <c r="O180" i="42"/>
  <c r="L181" i="42"/>
  <c r="N181" i="42"/>
  <c r="O181" i="42"/>
  <c r="L182" i="42"/>
  <c r="N182" i="42"/>
  <c r="O182" i="42"/>
  <c r="L183" i="42"/>
  <c r="N183" i="42"/>
  <c r="O183" i="42"/>
  <c r="L184" i="42"/>
  <c r="N184" i="42"/>
  <c r="O184" i="42"/>
  <c r="L185" i="42"/>
  <c r="N185" i="42"/>
  <c r="O185" i="42"/>
  <c r="L186" i="42"/>
  <c r="N186" i="42"/>
  <c r="O186" i="42"/>
  <c r="L187" i="42"/>
  <c r="N187" i="42"/>
  <c r="O187" i="42"/>
  <c r="L188" i="42"/>
  <c r="N188" i="42"/>
  <c r="O188" i="42"/>
  <c r="L189" i="42"/>
  <c r="N189" i="42"/>
  <c r="O189" i="42"/>
  <c r="L190" i="42"/>
  <c r="N190" i="42"/>
  <c r="O190" i="42"/>
  <c r="L191" i="42"/>
  <c r="N191" i="42"/>
  <c r="O191" i="42"/>
  <c r="L192" i="42"/>
  <c r="N192" i="42"/>
  <c r="O192" i="42"/>
  <c r="L193" i="42"/>
  <c r="N193" i="42"/>
  <c r="O193" i="42"/>
  <c r="L194" i="42"/>
  <c r="N194" i="42"/>
  <c r="O194" i="42"/>
  <c r="L195" i="42"/>
  <c r="N195" i="42"/>
  <c r="O195" i="42"/>
  <c r="L196" i="42"/>
  <c r="N196" i="42"/>
  <c r="O196" i="42"/>
  <c r="L197" i="42"/>
  <c r="N197" i="42"/>
  <c r="O197" i="42"/>
  <c r="L198" i="42"/>
  <c r="N198" i="42"/>
  <c r="O198" i="42"/>
  <c r="L199" i="42"/>
  <c r="N199" i="42"/>
  <c r="O199" i="42"/>
  <c r="L200" i="42"/>
  <c r="N200" i="42"/>
  <c r="O200" i="42"/>
  <c r="L201" i="42"/>
  <c r="N201" i="42"/>
  <c r="O201" i="42"/>
  <c r="P201" i="42" s="1"/>
  <c r="Q201" i="42" s="1"/>
  <c r="L202" i="42"/>
  <c r="N202" i="42"/>
  <c r="O202" i="42"/>
  <c r="P202" i="42" s="1"/>
  <c r="Q202" i="42" s="1"/>
  <c r="L203" i="42"/>
  <c r="N203" i="42"/>
  <c r="O203" i="42"/>
  <c r="P203" i="42" s="1"/>
  <c r="Q203" i="42" s="1"/>
  <c r="L204" i="42"/>
  <c r="N204" i="42"/>
  <c r="O204" i="42"/>
  <c r="P204" i="42" s="1"/>
  <c r="Q204" i="42" s="1"/>
  <c r="L205" i="42"/>
  <c r="N205" i="42"/>
  <c r="O205" i="42"/>
  <c r="P205" i="42" s="1"/>
  <c r="Q205" i="42" s="1"/>
  <c r="L206" i="42"/>
  <c r="N206" i="42"/>
  <c r="O206" i="42"/>
  <c r="P206" i="42" s="1"/>
  <c r="Q206" i="42" s="1"/>
  <c r="L207" i="42"/>
  <c r="N207" i="42"/>
  <c r="O207" i="42"/>
  <c r="P207" i="42" s="1"/>
  <c r="Q207" i="42" s="1"/>
  <c r="L208" i="42"/>
  <c r="N208" i="42"/>
  <c r="O208" i="42"/>
  <c r="P208" i="42" s="1"/>
  <c r="Q208" i="42" s="1"/>
  <c r="L209" i="42"/>
  <c r="N209" i="42"/>
  <c r="O209" i="42"/>
  <c r="P209" i="42" s="1"/>
  <c r="Q209" i="42" s="1"/>
  <c r="L210" i="42"/>
  <c r="N210" i="42"/>
  <c r="O210" i="42"/>
  <c r="P210" i="42" s="1"/>
  <c r="Q210" i="42" s="1"/>
  <c r="L211" i="42"/>
  <c r="N211" i="42"/>
  <c r="O211" i="42"/>
  <c r="P211" i="42" s="1"/>
  <c r="Q211" i="42" s="1"/>
  <c r="L212" i="42"/>
  <c r="N212" i="42"/>
  <c r="O212" i="42"/>
  <c r="P212" i="42" s="1"/>
  <c r="Q212" i="42" s="1"/>
  <c r="L213" i="42"/>
  <c r="N213" i="42"/>
  <c r="O213" i="42"/>
  <c r="L214" i="42"/>
  <c r="N214" i="42"/>
  <c r="O214" i="42"/>
  <c r="L215" i="42"/>
  <c r="N215" i="42"/>
  <c r="O215" i="42"/>
  <c r="L216" i="42"/>
  <c r="N216" i="42"/>
  <c r="O216" i="42"/>
  <c r="L217" i="42"/>
  <c r="N217" i="42"/>
  <c r="O217" i="42"/>
  <c r="L218" i="42"/>
  <c r="N218" i="42"/>
  <c r="O218" i="42"/>
  <c r="L219" i="42"/>
  <c r="N219" i="42"/>
  <c r="O219" i="42"/>
  <c r="L220" i="42"/>
  <c r="N220" i="42"/>
  <c r="O220" i="42"/>
  <c r="L221" i="42"/>
  <c r="N221" i="42"/>
  <c r="O221" i="42"/>
  <c r="L222" i="42"/>
  <c r="N222" i="42"/>
  <c r="O222" i="42"/>
  <c r="L223" i="42"/>
  <c r="N223" i="42"/>
  <c r="O223" i="42"/>
  <c r="L224" i="42"/>
  <c r="N224" i="42"/>
  <c r="O224" i="42"/>
  <c r="L225" i="42"/>
  <c r="N225" i="42"/>
  <c r="O225" i="42"/>
  <c r="L226" i="42"/>
  <c r="N226" i="42"/>
  <c r="O226" i="42"/>
  <c r="L227" i="42"/>
  <c r="N227" i="42"/>
  <c r="O227" i="42"/>
  <c r="L228" i="42"/>
  <c r="N228" i="42"/>
  <c r="O228" i="42"/>
  <c r="L229" i="42"/>
  <c r="N229" i="42"/>
  <c r="O229" i="42"/>
  <c r="L230" i="42"/>
  <c r="N230" i="42"/>
  <c r="O230" i="42"/>
  <c r="L231" i="42"/>
  <c r="N231" i="42"/>
  <c r="O231" i="42"/>
  <c r="L232" i="42"/>
  <c r="N232" i="42"/>
  <c r="O232" i="42"/>
  <c r="L233" i="42"/>
  <c r="N233" i="42"/>
  <c r="O233" i="42"/>
  <c r="L234" i="42"/>
  <c r="N234" i="42"/>
  <c r="O234" i="42"/>
  <c r="L235" i="42"/>
  <c r="N235" i="42"/>
  <c r="O235" i="42"/>
  <c r="L236" i="42"/>
  <c r="N236" i="42"/>
  <c r="O236" i="42"/>
  <c r="L237" i="42"/>
  <c r="N237" i="42"/>
  <c r="O237" i="42"/>
  <c r="L238" i="42"/>
  <c r="N238" i="42"/>
  <c r="O238" i="42"/>
  <c r="L239" i="42"/>
  <c r="N239" i="42"/>
  <c r="O239" i="42"/>
  <c r="L240" i="42"/>
  <c r="N240" i="42"/>
  <c r="O240" i="42"/>
  <c r="L241" i="42"/>
  <c r="N241" i="42"/>
  <c r="O241" i="42"/>
  <c r="L242" i="42"/>
  <c r="N242" i="42"/>
  <c r="O242" i="42"/>
  <c r="L243" i="42"/>
  <c r="N243" i="42"/>
  <c r="O243" i="42"/>
  <c r="L244" i="42"/>
  <c r="N244" i="42"/>
  <c r="O244" i="42"/>
  <c r="L245" i="42"/>
  <c r="N245" i="42"/>
  <c r="O245" i="42"/>
  <c r="L246" i="42"/>
  <c r="N246" i="42"/>
  <c r="O246" i="42"/>
  <c r="L247" i="42"/>
  <c r="N247" i="42"/>
  <c r="O247" i="42"/>
  <c r="L248" i="42"/>
  <c r="N248" i="42"/>
  <c r="O248" i="42"/>
  <c r="L249" i="42"/>
  <c r="N249" i="42"/>
  <c r="O249" i="42"/>
  <c r="L250" i="42"/>
  <c r="N250" i="42"/>
  <c r="O250" i="42"/>
  <c r="L251" i="42"/>
  <c r="N251" i="42"/>
  <c r="O251" i="42"/>
  <c r="L252" i="42"/>
  <c r="N252" i="42"/>
  <c r="O252" i="42"/>
  <c r="L253" i="42"/>
  <c r="N253" i="42"/>
  <c r="O253" i="42"/>
  <c r="L254" i="42"/>
  <c r="N254" i="42"/>
  <c r="O254" i="42"/>
  <c r="L255" i="42"/>
  <c r="N255" i="42"/>
  <c r="O255" i="42"/>
  <c r="L256" i="42"/>
  <c r="N256" i="42"/>
  <c r="O256" i="42"/>
  <c r="L257" i="42"/>
  <c r="N257" i="42"/>
  <c r="O257" i="42"/>
  <c r="L258" i="42"/>
  <c r="N258" i="42"/>
  <c r="O258" i="42"/>
  <c r="L259" i="42"/>
  <c r="N259" i="42"/>
  <c r="O259" i="42"/>
  <c r="L260" i="42"/>
  <c r="N260" i="42"/>
  <c r="O260" i="42"/>
  <c r="L261" i="42"/>
  <c r="N261" i="42"/>
  <c r="O261" i="42"/>
  <c r="L262" i="42"/>
  <c r="N262" i="42"/>
  <c r="O262" i="42"/>
  <c r="L263" i="42"/>
  <c r="N263" i="42"/>
  <c r="O263" i="42"/>
  <c r="L264" i="42"/>
  <c r="N264" i="42"/>
  <c r="O264" i="42"/>
  <c r="L265" i="42"/>
  <c r="N265" i="42"/>
  <c r="O265" i="42"/>
  <c r="L266" i="42"/>
  <c r="N266" i="42"/>
  <c r="O266" i="42"/>
  <c r="L267" i="42"/>
  <c r="N267" i="42"/>
  <c r="O267" i="42"/>
  <c r="L268" i="42"/>
  <c r="N268" i="42"/>
  <c r="O268" i="42"/>
  <c r="L269" i="42"/>
  <c r="N269" i="42"/>
  <c r="O269" i="42"/>
  <c r="L270" i="42"/>
  <c r="N270" i="42"/>
  <c r="O270" i="42"/>
  <c r="L271" i="42"/>
  <c r="N271" i="42"/>
  <c r="O271" i="42"/>
  <c r="L272" i="42"/>
  <c r="N272" i="42"/>
  <c r="O272" i="42"/>
  <c r="L273" i="42"/>
  <c r="N273" i="42"/>
  <c r="O273" i="42"/>
  <c r="L274" i="42"/>
  <c r="N274" i="42"/>
  <c r="O274" i="42"/>
  <c r="L275" i="42"/>
  <c r="N275" i="42"/>
  <c r="O275" i="42"/>
  <c r="L276" i="42"/>
  <c r="N276" i="42"/>
  <c r="O276" i="42"/>
  <c r="L277" i="42"/>
  <c r="N277" i="42"/>
  <c r="O277" i="42"/>
  <c r="L278" i="42"/>
  <c r="N278" i="42"/>
  <c r="O278" i="42"/>
  <c r="L279" i="42"/>
  <c r="N279" i="42"/>
  <c r="O279" i="42"/>
  <c r="L280" i="42"/>
  <c r="N280" i="42"/>
  <c r="O280" i="42"/>
  <c r="L281" i="42"/>
  <c r="N281" i="42"/>
  <c r="O281" i="42"/>
  <c r="L282" i="42"/>
  <c r="N282" i="42"/>
  <c r="O282" i="42"/>
  <c r="L283" i="42"/>
  <c r="N283" i="42"/>
  <c r="O283" i="42"/>
  <c r="L284" i="42"/>
  <c r="N284" i="42"/>
  <c r="O284" i="42"/>
  <c r="L285" i="42"/>
  <c r="N285" i="42"/>
  <c r="O285" i="42"/>
  <c r="L286" i="42"/>
  <c r="N286" i="42"/>
  <c r="O286" i="42"/>
  <c r="L287" i="42"/>
  <c r="N287" i="42"/>
  <c r="O287" i="42"/>
  <c r="L288" i="42"/>
  <c r="N288" i="42"/>
  <c r="O288" i="42"/>
  <c r="L289" i="42"/>
  <c r="N289" i="42"/>
  <c r="O289" i="42"/>
  <c r="L290" i="42"/>
  <c r="N290" i="42"/>
  <c r="O290" i="42"/>
  <c r="L291" i="42"/>
  <c r="N291" i="42"/>
  <c r="O291" i="42"/>
  <c r="L292" i="42"/>
  <c r="N292" i="42"/>
  <c r="O292" i="42"/>
  <c r="L293" i="42"/>
  <c r="N293" i="42"/>
  <c r="O293" i="42"/>
  <c r="L294" i="42"/>
  <c r="N294" i="42"/>
  <c r="O294" i="42"/>
  <c r="L295" i="42"/>
  <c r="N295" i="42"/>
  <c r="O295" i="42"/>
  <c r="L296" i="42"/>
  <c r="N296" i="42"/>
  <c r="O296" i="42"/>
  <c r="L297" i="42"/>
  <c r="N297" i="42"/>
  <c r="O297" i="42"/>
  <c r="L298" i="42"/>
  <c r="N298" i="42"/>
  <c r="O298" i="42"/>
  <c r="L299" i="42"/>
  <c r="N299" i="42"/>
  <c r="O299" i="42"/>
  <c r="L300" i="42"/>
  <c r="N300" i="42"/>
  <c r="O300" i="42"/>
  <c r="L301" i="42"/>
  <c r="N301" i="42"/>
  <c r="O301" i="42"/>
  <c r="L302" i="42"/>
  <c r="N302" i="42"/>
  <c r="O302" i="42"/>
  <c r="L303" i="42"/>
  <c r="N303" i="42"/>
  <c r="O303" i="42"/>
  <c r="L304" i="42"/>
  <c r="N304" i="42"/>
  <c r="O304" i="42"/>
  <c r="L305" i="42"/>
  <c r="N305" i="42"/>
  <c r="O305" i="42"/>
  <c r="L306" i="42"/>
  <c r="N306" i="42"/>
  <c r="O306" i="42"/>
  <c r="L307" i="42"/>
  <c r="N307" i="42"/>
  <c r="O307" i="42"/>
  <c r="L308" i="42"/>
  <c r="N308" i="42"/>
  <c r="O308" i="42"/>
  <c r="L309" i="42"/>
  <c r="N309" i="42"/>
  <c r="O309" i="42"/>
  <c r="L310" i="42"/>
  <c r="N310" i="42"/>
  <c r="O310" i="42"/>
  <c r="L311" i="42"/>
  <c r="N311" i="42"/>
  <c r="O311" i="42"/>
  <c r="L312" i="42"/>
  <c r="N312" i="42"/>
  <c r="O312" i="42"/>
  <c r="L313" i="42"/>
  <c r="N313" i="42"/>
  <c r="O313" i="42"/>
  <c r="L314" i="42"/>
  <c r="N314" i="42"/>
  <c r="O314" i="42"/>
  <c r="L315" i="42"/>
  <c r="N315" i="42"/>
  <c r="O315" i="42"/>
  <c r="L316" i="42"/>
  <c r="N316" i="42"/>
  <c r="O316" i="42"/>
  <c r="L317" i="42"/>
  <c r="N317" i="42"/>
  <c r="O317" i="42"/>
  <c r="L318" i="42"/>
  <c r="N318" i="42"/>
  <c r="O318" i="42"/>
  <c r="L319" i="42"/>
  <c r="N319" i="42"/>
  <c r="O319" i="42"/>
  <c r="L320" i="42"/>
  <c r="N320" i="42"/>
  <c r="O320" i="42"/>
  <c r="L321" i="42"/>
  <c r="N321" i="42"/>
  <c r="O321" i="42"/>
  <c r="L322" i="42"/>
  <c r="N322" i="42"/>
  <c r="O322" i="42"/>
  <c r="L323" i="42"/>
  <c r="N323" i="42"/>
  <c r="O323" i="42"/>
  <c r="L324" i="42"/>
  <c r="N324" i="42"/>
  <c r="O324" i="42"/>
  <c r="L325" i="42"/>
  <c r="N325" i="42"/>
  <c r="O325" i="42"/>
  <c r="L326" i="42"/>
  <c r="N326" i="42"/>
  <c r="O326" i="42"/>
  <c r="L327" i="42"/>
  <c r="N327" i="42"/>
  <c r="O327" i="42"/>
  <c r="L328" i="42"/>
  <c r="N328" i="42"/>
  <c r="O328" i="42"/>
  <c r="L329" i="42"/>
  <c r="N329" i="42"/>
  <c r="O329" i="42"/>
  <c r="L330" i="42"/>
  <c r="N330" i="42"/>
  <c r="O330" i="42"/>
  <c r="L331" i="42"/>
  <c r="N331" i="42"/>
  <c r="O331" i="42"/>
  <c r="L332" i="42"/>
  <c r="N332" i="42"/>
  <c r="O332" i="42"/>
  <c r="L333" i="42"/>
  <c r="N333" i="42"/>
  <c r="O333" i="42"/>
  <c r="L334" i="42"/>
  <c r="N334" i="42"/>
  <c r="O334" i="42"/>
  <c r="L335" i="42"/>
  <c r="N335" i="42"/>
  <c r="O335" i="42"/>
  <c r="L336" i="42"/>
  <c r="N336" i="42"/>
  <c r="O336" i="42"/>
  <c r="L337" i="42"/>
  <c r="N337" i="42"/>
  <c r="O337" i="42"/>
  <c r="L338" i="42"/>
  <c r="N338" i="42"/>
  <c r="O338" i="42"/>
  <c r="L339" i="42"/>
  <c r="N339" i="42"/>
  <c r="O339" i="42"/>
  <c r="L340" i="42"/>
  <c r="N340" i="42"/>
  <c r="O340" i="42"/>
  <c r="L341" i="42"/>
  <c r="N341" i="42"/>
  <c r="O341" i="42"/>
  <c r="L342" i="42"/>
  <c r="N342" i="42"/>
  <c r="O342" i="42"/>
  <c r="L343" i="42"/>
  <c r="N343" i="42"/>
  <c r="O343" i="42"/>
  <c r="L344" i="42"/>
  <c r="N344" i="42"/>
  <c r="O344" i="42"/>
  <c r="L345" i="42"/>
  <c r="N345" i="42"/>
  <c r="O345" i="42"/>
  <c r="L346" i="42"/>
  <c r="N346" i="42"/>
  <c r="O346" i="42"/>
  <c r="L347" i="42"/>
  <c r="N347" i="42"/>
  <c r="O347" i="42"/>
  <c r="L348" i="42"/>
  <c r="N348" i="42"/>
  <c r="O348" i="42"/>
  <c r="L349" i="42"/>
  <c r="N349" i="42"/>
  <c r="O349" i="42"/>
  <c r="L350" i="42"/>
  <c r="N350" i="42"/>
  <c r="O350" i="42"/>
  <c r="L351" i="42"/>
  <c r="N351" i="42"/>
  <c r="O351" i="42"/>
  <c r="L352" i="42"/>
  <c r="N352" i="42"/>
  <c r="O352" i="42"/>
  <c r="L353" i="42"/>
  <c r="N353" i="42"/>
  <c r="O353" i="42"/>
  <c r="L354" i="42"/>
  <c r="N354" i="42"/>
  <c r="O354" i="42"/>
  <c r="L355" i="42"/>
  <c r="N355" i="42"/>
  <c r="O355" i="42"/>
  <c r="L356" i="42"/>
  <c r="N356" i="42"/>
  <c r="O356" i="42"/>
  <c r="L357" i="42"/>
  <c r="N357" i="42"/>
  <c r="O357" i="42"/>
  <c r="L358" i="42"/>
  <c r="N358" i="42"/>
  <c r="O358" i="42"/>
  <c r="L359" i="42"/>
  <c r="N359" i="42"/>
  <c r="O359" i="42"/>
  <c r="L360" i="42"/>
  <c r="N360" i="42"/>
  <c r="O360" i="42"/>
  <c r="L361" i="42"/>
  <c r="N361" i="42"/>
  <c r="O361" i="42"/>
  <c r="L362" i="42"/>
  <c r="N362" i="42"/>
  <c r="O362" i="42"/>
  <c r="L363" i="42"/>
  <c r="N363" i="42"/>
  <c r="O363" i="42"/>
  <c r="L364" i="42"/>
  <c r="N364" i="42"/>
  <c r="O364" i="42"/>
  <c r="L365" i="42"/>
  <c r="N365" i="42"/>
  <c r="O365" i="42"/>
  <c r="L366" i="42"/>
  <c r="N366" i="42"/>
  <c r="O366" i="42"/>
  <c r="L367" i="42"/>
  <c r="N367" i="42"/>
  <c r="O367" i="42"/>
  <c r="L368" i="42"/>
  <c r="N368" i="42"/>
  <c r="O368" i="42"/>
  <c r="L369" i="42"/>
  <c r="N369" i="42"/>
  <c r="O369" i="42"/>
  <c r="L370" i="42"/>
  <c r="N370" i="42"/>
  <c r="O370" i="42"/>
  <c r="L371" i="42"/>
  <c r="N371" i="42"/>
  <c r="O371" i="42"/>
  <c r="L372" i="42"/>
  <c r="N372" i="42"/>
  <c r="O372" i="42"/>
  <c r="L373" i="42"/>
  <c r="N373" i="42"/>
  <c r="O373" i="42"/>
  <c r="L374" i="42"/>
  <c r="N374" i="42"/>
  <c r="O374" i="42"/>
  <c r="L375" i="42"/>
  <c r="N375" i="42"/>
  <c r="O375" i="42"/>
  <c r="L376" i="42"/>
  <c r="N376" i="42"/>
  <c r="O376" i="42"/>
  <c r="L377" i="42"/>
  <c r="N377" i="42"/>
  <c r="O377" i="42"/>
  <c r="L378" i="42"/>
  <c r="N378" i="42"/>
  <c r="O378" i="42"/>
  <c r="L379" i="42"/>
  <c r="N379" i="42"/>
  <c r="O379" i="42"/>
  <c r="L380" i="42"/>
  <c r="N380" i="42"/>
  <c r="O380" i="42"/>
  <c r="L381" i="42"/>
  <c r="N381" i="42"/>
  <c r="O381" i="42"/>
  <c r="L382" i="42"/>
  <c r="N382" i="42"/>
  <c r="O382" i="42"/>
  <c r="L383" i="42"/>
  <c r="N383" i="42"/>
  <c r="O383" i="42"/>
  <c r="L384" i="42"/>
  <c r="N384" i="42"/>
  <c r="O384" i="42"/>
  <c r="L385" i="42"/>
  <c r="N385" i="42"/>
  <c r="O385" i="42"/>
  <c r="L386" i="42"/>
  <c r="N386" i="42"/>
  <c r="O386" i="42"/>
  <c r="L387" i="42"/>
  <c r="N387" i="42"/>
  <c r="O387" i="42"/>
  <c r="L388" i="42"/>
  <c r="N388" i="42"/>
  <c r="O388" i="42"/>
  <c r="L389" i="42"/>
  <c r="N389" i="42"/>
  <c r="O389" i="42"/>
  <c r="L390" i="42"/>
  <c r="N390" i="42"/>
  <c r="O390" i="42"/>
  <c r="L391" i="42"/>
  <c r="N391" i="42"/>
  <c r="O391" i="42"/>
  <c r="L392" i="42"/>
  <c r="N392" i="42"/>
  <c r="O392" i="42"/>
  <c r="L393" i="42"/>
  <c r="N393" i="42"/>
  <c r="O393" i="42"/>
  <c r="L394" i="42"/>
  <c r="N394" i="42"/>
  <c r="O394" i="42"/>
  <c r="L395" i="42"/>
  <c r="N395" i="42"/>
  <c r="O395" i="42"/>
  <c r="L396" i="42"/>
  <c r="N396" i="42"/>
  <c r="O396" i="42"/>
  <c r="L397" i="42"/>
  <c r="N397" i="42"/>
  <c r="O397" i="42"/>
  <c r="L398" i="42"/>
  <c r="N398" i="42"/>
  <c r="O398" i="42"/>
  <c r="L399" i="42"/>
  <c r="N399" i="42"/>
  <c r="O399" i="42"/>
  <c r="L400" i="42"/>
  <c r="N400" i="42"/>
  <c r="O400" i="42"/>
  <c r="L401" i="42"/>
  <c r="N401" i="42"/>
  <c r="O401" i="42"/>
  <c r="L402" i="42"/>
  <c r="N402" i="42"/>
  <c r="O402" i="42"/>
  <c r="L403" i="42"/>
  <c r="N403" i="42"/>
  <c r="O403" i="42"/>
  <c r="L404" i="42"/>
  <c r="N404" i="42"/>
  <c r="O404" i="42"/>
  <c r="L405" i="42"/>
  <c r="N405" i="42"/>
  <c r="O405" i="42"/>
  <c r="L406" i="42"/>
  <c r="N406" i="42"/>
  <c r="O406" i="42"/>
  <c r="L407" i="42"/>
  <c r="N407" i="42"/>
  <c r="O407" i="42"/>
  <c r="L408" i="42"/>
  <c r="N408" i="42"/>
  <c r="O408" i="42"/>
  <c r="L409" i="42"/>
  <c r="N409" i="42"/>
  <c r="O409" i="42"/>
  <c r="L410" i="42"/>
  <c r="N410" i="42"/>
  <c r="O410" i="42"/>
  <c r="L411" i="42"/>
  <c r="N411" i="42"/>
  <c r="O411" i="42"/>
  <c r="L412" i="42"/>
  <c r="N412" i="42"/>
  <c r="O412" i="42"/>
  <c r="L413" i="42"/>
  <c r="N413" i="42"/>
  <c r="O413" i="42"/>
  <c r="L414" i="42"/>
  <c r="N414" i="42"/>
  <c r="O414" i="42"/>
  <c r="L415" i="42"/>
  <c r="N415" i="42"/>
  <c r="O415" i="42"/>
  <c r="L416" i="42"/>
  <c r="N416" i="42"/>
  <c r="O416" i="42"/>
  <c r="L417" i="42"/>
  <c r="N417" i="42"/>
  <c r="O417" i="42"/>
  <c r="L418" i="42"/>
  <c r="N418" i="42"/>
  <c r="O418" i="42"/>
  <c r="L419" i="42"/>
  <c r="N419" i="42"/>
  <c r="O419" i="42"/>
  <c r="L420" i="42"/>
  <c r="N420" i="42"/>
  <c r="O420" i="42"/>
  <c r="L421" i="42"/>
  <c r="N421" i="42"/>
  <c r="O421" i="42"/>
  <c r="L422" i="42"/>
  <c r="N422" i="42"/>
  <c r="O422" i="42"/>
  <c r="L423" i="42"/>
  <c r="N423" i="42"/>
  <c r="O423" i="42"/>
  <c r="L424" i="42"/>
  <c r="N424" i="42"/>
  <c r="O424" i="42"/>
  <c r="L425" i="42"/>
  <c r="N425" i="42"/>
  <c r="O425" i="42"/>
  <c r="L426" i="42"/>
  <c r="N426" i="42"/>
  <c r="O426" i="42"/>
  <c r="L427" i="42"/>
  <c r="N427" i="42"/>
  <c r="O427" i="42"/>
  <c r="L428" i="42"/>
  <c r="N428" i="42"/>
  <c r="O428" i="42"/>
  <c r="L429" i="42"/>
  <c r="N429" i="42"/>
  <c r="O429" i="42"/>
  <c r="L430" i="42"/>
  <c r="N430" i="42"/>
  <c r="O430" i="42"/>
  <c r="L431" i="42"/>
  <c r="N431" i="42"/>
  <c r="O431" i="42"/>
  <c r="L432" i="42"/>
  <c r="N432" i="42"/>
  <c r="O432" i="42"/>
  <c r="L433" i="42"/>
  <c r="N433" i="42"/>
  <c r="O433" i="42"/>
  <c r="L434" i="42"/>
  <c r="N434" i="42"/>
  <c r="O434" i="42"/>
  <c r="L435" i="42"/>
  <c r="N435" i="42"/>
  <c r="O435" i="42"/>
  <c r="L436" i="42"/>
  <c r="N436" i="42"/>
  <c r="O436" i="42"/>
  <c r="L437" i="42"/>
  <c r="N437" i="42"/>
  <c r="O437" i="42"/>
  <c r="L438" i="42"/>
  <c r="N438" i="42"/>
  <c r="O438" i="42"/>
  <c r="L439" i="42"/>
  <c r="N439" i="42"/>
  <c r="O439" i="42"/>
  <c r="L440" i="42"/>
  <c r="N440" i="42"/>
  <c r="O440" i="42"/>
  <c r="L441" i="42"/>
  <c r="N441" i="42"/>
  <c r="O441" i="42"/>
  <c r="L442" i="42"/>
  <c r="N442" i="42"/>
  <c r="O442" i="42"/>
  <c r="L443" i="42"/>
  <c r="N443" i="42"/>
  <c r="O443" i="42"/>
  <c r="L444" i="42"/>
  <c r="N444" i="42"/>
  <c r="O444" i="42"/>
  <c r="L445" i="42"/>
  <c r="N445" i="42"/>
  <c r="O445" i="42"/>
  <c r="L446" i="42"/>
  <c r="N446" i="42"/>
  <c r="O446" i="42"/>
  <c r="L447" i="42"/>
  <c r="N447" i="42"/>
  <c r="O447" i="42"/>
  <c r="L448" i="42"/>
  <c r="N448" i="42"/>
  <c r="O448" i="42"/>
  <c r="L449" i="42"/>
  <c r="N449" i="42"/>
  <c r="O449" i="42"/>
  <c r="L450" i="42"/>
  <c r="N450" i="42"/>
  <c r="O450" i="42"/>
  <c r="L451" i="42"/>
  <c r="N451" i="42"/>
  <c r="O451" i="42"/>
  <c r="L452" i="42"/>
  <c r="N452" i="42"/>
  <c r="O452" i="42"/>
  <c r="L453" i="42"/>
  <c r="N453" i="42"/>
  <c r="O453" i="42"/>
  <c r="L454" i="42"/>
  <c r="N454" i="42"/>
  <c r="O454" i="42"/>
  <c r="L455" i="42"/>
  <c r="N455" i="42"/>
  <c r="O455" i="42"/>
  <c r="L456" i="42"/>
  <c r="N456" i="42"/>
  <c r="O456" i="42"/>
  <c r="L457" i="42"/>
  <c r="N457" i="42"/>
  <c r="O457" i="42"/>
  <c r="L458" i="42"/>
  <c r="N458" i="42"/>
  <c r="O458" i="42"/>
  <c r="L459" i="42"/>
  <c r="N459" i="42"/>
  <c r="O459" i="42"/>
  <c r="L460" i="42"/>
  <c r="N460" i="42"/>
  <c r="O460" i="42"/>
  <c r="L461" i="42"/>
  <c r="N461" i="42"/>
  <c r="O461" i="42"/>
  <c r="L462" i="42"/>
  <c r="N462" i="42"/>
  <c r="O462" i="42"/>
  <c r="L463" i="42"/>
  <c r="N463" i="42"/>
  <c r="O463" i="42"/>
  <c r="L464" i="42"/>
  <c r="N464" i="42"/>
  <c r="O464" i="42"/>
  <c r="L465" i="42"/>
  <c r="N465" i="42"/>
  <c r="O465" i="42"/>
  <c r="L466" i="42"/>
  <c r="N466" i="42"/>
  <c r="O466" i="42"/>
  <c r="L467" i="42"/>
  <c r="N467" i="42"/>
  <c r="O467" i="42"/>
  <c r="L468" i="42"/>
  <c r="N468" i="42"/>
  <c r="O468" i="42"/>
  <c r="L469" i="42"/>
  <c r="N469" i="42"/>
  <c r="O469" i="42"/>
  <c r="L470" i="42"/>
  <c r="N470" i="42"/>
  <c r="O470" i="42"/>
  <c r="L471" i="42"/>
  <c r="N471" i="42"/>
  <c r="O471" i="42"/>
  <c r="L472" i="42"/>
  <c r="N472" i="42"/>
  <c r="O472" i="42"/>
  <c r="L473" i="42"/>
  <c r="N473" i="42"/>
  <c r="O473" i="42"/>
  <c r="L474" i="42"/>
  <c r="N474" i="42"/>
  <c r="O474" i="42"/>
  <c r="L475" i="42"/>
  <c r="N475" i="42"/>
  <c r="O475" i="42"/>
  <c r="L476" i="42"/>
  <c r="N476" i="42"/>
  <c r="O476" i="42"/>
  <c r="L477" i="42"/>
  <c r="N477" i="42"/>
  <c r="O477" i="42"/>
  <c r="L478" i="42"/>
  <c r="N478" i="42"/>
  <c r="O478" i="42"/>
  <c r="L479" i="42"/>
  <c r="N479" i="42"/>
  <c r="O479" i="42"/>
  <c r="L480" i="42"/>
  <c r="N480" i="42"/>
  <c r="O480" i="42"/>
  <c r="L481" i="42"/>
  <c r="N481" i="42"/>
  <c r="O481" i="42"/>
  <c r="L482" i="42"/>
  <c r="N482" i="42"/>
  <c r="O482" i="42"/>
  <c r="L483" i="42"/>
  <c r="N483" i="42"/>
  <c r="O483" i="42"/>
  <c r="L484" i="42"/>
  <c r="N484" i="42"/>
  <c r="O484" i="42"/>
  <c r="L485" i="42"/>
  <c r="N485" i="42"/>
  <c r="O485" i="42"/>
  <c r="L486" i="42"/>
  <c r="N486" i="42"/>
  <c r="O486" i="42"/>
  <c r="L487" i="42"/>
  <c r="N487" i="42"/>
  <c r="O487" i="42"/>
  <c r="L488" i="42"/>
  <c r="N488" i="42"/>
  <c r="O488" i="42"/>
  <c r="L489" i="42"/>
  <c r="N489" i="42"/>
  <c r="O489" i="42"/>
  <c r="L490" i="42"/>
  <c r="N490" i="42"/>
  <c r="O490" i="42"/>
  <c r="L491" i="42"/>
  <c r="N491" i="42"/>
  <c r="O491" i="42"/>
  <c r="L492" i="42"/>
  <c r="N492" i="42"/>
  <c r="O492" i="42"/>
  <c r="L493" i="42"/>
  <c r="N493" i="42"/>
  <c r="O493" i="42"/>
  <c r="L494" i="42"/>
  <c r="N494" i="42"/>
  <c r="O494" i="42"/>
  <c r="L495" i="42"/>
  <c r="N495" i="42"/>
  <c r="O495" i="42"/>
  <c r="L496" i="42"/>
  <c r="N496" i="42"/>
  <c r="O496" i="42"/>
  <c r="L497" i="42"/>
  <c r="N497" i="42"/>
  <c r="O497" i="42"/>
  <c r="L498" i="42"/>
  <c r="N498" i="42"/>
  <c r="O498" i="42"/>
  <c r="L499" i="42"/>
  <c r="N499" i="42"/>
  <c r="O499" i="42"/>
  <c r="L500" i="42"/>
  <c r="N500" i="42"/>
  <c r="O500" i="42"/>
  <c r="L501" i="42"/>
  <c r="N501" i="42"/>
  <c r="O501" i="42"/>
  <c r="L502" i="42"/>
  <c r="N502" i="42"/>
  <c r="O502" i="42"/>
  <c r="L503" i="42"/>
  <c r="N503" i="42"/>
  <c r="O503" i="42"/>
  <c r="L504" i="42"/>
  <c r="N504" i="42"/>
  <c r="O504" i="42"/>
  <c r="L505" i="42"/>
  <c r="N505" i="42"/>
  <c r="O505" i="42"/>
  <c r="L506" i="42"/>
  <c r="N506" i="42"/>
  <c r="O506" i="42"/>
  <c r="L507" i="42"/>
  <c r="N507" i="42"/>
  <c r="O507" i="42"/>
  <c r="L508" i="42"/>
  <c r="N508" i="42"/>
  <c r="O508" i="42"/>
  <c r="L509" i="42"/>
  <c r="N509" i="42"/>
  <c r="O509" i="42"/>
  <c r="L510" i="42"/>
  <c r="N510" i="42"/>
  <c r="O510" i="42"/>
  <c r="L511" i="42"/>
  <c r="N511" i="42"/>
  <c r="O511" i="42"/>
  <c r="L512" i="42"/>
  <c r="N512" i="42"/>
  <c r="O512" i="42"/>
  <c r="L513" i="42"/>
  <c r="N513" i="42"/>
  <c r="O513" i="42"/>
  <c r="L514" i="42"/>
  <c r="N514" i="42"/>
  <c r="O514" i="42"/>
  <c r="L515" i="42"/>
  <c r="N515" i="42"/>
  <c r="O515" i="42"/>
  <c r="L516" i="42"/>
  <c r="N516" i="42"/>
  <c r="O516" i="42"/>
  <c r="L517" i="42"/>
  <c r="N517" i="42"/>
  <c r="O517" i="42"/>
  <c r="L518" i="42"/>
  <c r="N518" i="42"/>
  <c r="O518" i="42"/>
  <c r="L519" i="42"/>
  <c r="N519" i="42"/>
  <c r="O519" i="42"/>
  <c r="L520" i="42"/>
  <c r="N520" i="42"/>
  <c r="O520" i="42"/>
  <c r="L521" i="42"/>
  <c r="N521" i="42"/>
  <c r="O521" i="42"/>
  <c r="L522" i="42"/>
  <c r="N522" i="42"/>
  <c r="O522" i="42"/>
  <c r="L523" i="42"/>
  <c r="N523" i="42"/>
  <c r="O523" i="42"/>
  <c r="L524" i="42"/>
  <c r="N524" i="42"/>
  <c r="O524" i="42"/>
  <c r="L525" i="42"/>
  <c r="N525" i="42"/>
  <c r="O525" i="42"/>
  <c r="L526" i="42"/>
  <c r="N526" i="42"/>
  <c r="O526" i="42"/>
  <c r="L527" i="42"/>
  <c r="N527" i="42"/>
  <c r="O527" i="42"/>
  <c r="L528" i="42"/>
  <c r="N528" i="42"/>
  <c r="O528" i="42"/>
  <c r="L529" i="42"/>
  <c r="N529" i="42"/>
  <c r="O529" i="42"/>
  <c r="L530" i="42"/>
  <c r="N530" i="42"/>
  <c r="O530" i="42"/>
  <c r="L531" i="42"/>
  <c r="N531" i="42"/>
  <c r="O531" i="42"/>
  <c r="L532" i="42"/>
  <c r="N532" i="42"/>
  <c r="O532" i="42"/>
  <c r="L533" i="42"/>
  <c r="N533" i="42"/>
  <c r="O533" i="42"/>
  <c r="L534" i="42"/>
  <c r="N534" i="42"/>
  <c r="O534" i="42"/>
  <c r="L535" i="42"/>
  <c r="N535" i="42"/>
  <c r="O535" i="42"/>
  <c r="L536" i="42"/>
  <c r="N536" i="42"/>
  <c r="O536" i="42"/>
  <c r="L537" i="42"/>
  <c r="N537" i="42"/>
  <c r="O537" i="42"/>
  <c r="L538" i="42"/>
  <c r="N538" i="42"/>
  <c r="O538" i="42"/>
  <c r="L539" i="42"/>
  <c r="N539" i="42"/>
  <c r="O539" i="42"/>
  <c r="L540" i="42"/>
  <c r="N540" i="42"/>
  <c r="O540" i="42"/>
  <c r="L541" i="42"/>
  <c r="N541" i="42"/>
  <c r="O541" i="42"/>
  <c r="L542" i="42"/>
  <c r="N542" i="42"/>
  <c r="O542" i="42"/>
  <c r="L543" i="42"/>
  <c r="N543" i="42"/>
  <c r="O543" i="42"/>
  <c r="L544" i="42"/>
  <c r="N544" i="42"/>
  <c r="O544" i="42"/>
  <c r="L545" i="42"/>
  <c r="N545" i="42"/>
  <c r="O545" i="42"/>
  <c r="L546" i="42"/>
  <c r="N546" i="42"/>
  <c r="O546" i="42"/>
  <c r="L547" i="42"/>
  <c r="N547" i="42"/>
  <c r="O547" i="42"/>
  <c r="L548" i="42"/>
  <c r="N548" i="42"/>
  <c r="O548" i="42"/>
  <c r="L549" i="42"/>
  <c r="N549" i="42"/>
  <c r="O549" i="42"/>
  <c r="L550" i="42"/>
  <c r="N550" i="42"/>
  <c r="O550" i="42"/>
  <c r="L551" i="42"/>
  <c r="N551" i="42"/>
  <c r="O551" i="42"/>
  <c r="L552" i="42"/>
  <c r="N552" i="42"/>
  <c r="O552" i="42"/>
  <c r="L553" i="42"/>
  <c r="N553" i="42"/>
  <c r="O553" i="42"/>
  <c r="L554" i="42"/>
  <c r="N554" i="42"/>
  <c r="O554" i="42"/>
  <c r="L555" i="42"/>
  <c r="N555" i="42"/>
  <c r="O555" i="42"/>
  <c r="L556" i="42"/>
  <c r="N556" i="42"/>
  <c r="O556" i="42"/>
  <c r="L557" i="42"/>
  <c r="N557" i="42"/>
  <c r="O557" i="42"/>
  <c r="L558" i="42"/>
  <c r="N558" i="42"/>
  <c r="O558" i="42"/>
  <c r="L559" i="42"/>
  <c r="N559" i="42"/>
  <c r="O559" i="42"/>
  <c r="L560" i="42"/>
  <c r="N560" i="42"/>
  <c r="O560" i="42"/>
  <c r="L561" i="42"/>
  <c r="N561" i="42"/>
  <c r="O561" i="42"/>
  <c r="L562" i="42"/>
  <c r="N562" i="42"/>
  <c r="O562" i="42"/>
  <c r="L563" i="42"/>
  <c r="N563" i="42"/>
  <c r="O563" i="42"/>
  <c r="L564" i="42"/>
  <c r="N564" i="42"/>
  <c r="O564" i="42"/>
  <c r="L565" i="42"/>
  <c r="N565" i="42"/>
  <c r="O565" i="42"/>
  <c r="L566" i="42"/>
  <c r="N566" i="42"/>
  <c r="O566" i="42"/>
  <c r="L567" i="42"/>
  <c r="N567" i="42"/>
  <c r="O567" i="42"/>
  <c r="L568" i="42"/>
  <c r="N568" i="42"/>
  <c r="O568" i="42"/>
  <c r="L569" i="42"/>
  <c r="N569" i="42"/>
  <c r="O569" i="42"/>
  <c r="L570" i="42"/>
  <c r="N570" i="42"/>
  <c r="O570" i="42"/>
  <c r="L571" i="42"/>
  <c r="N571" i="42"/>
  <c r="O571" i="42"/>
  <c r="L572" i="42"/>
  <c r="N572" i="42"/>
  <c r="O572" i="42"/>
  <c r="L573" i="42"/>
  <c r="N573" i="42"/>
  <c r="O573" i="42"/>
  <c r="L574" i="42"/>
  <c r="N574" i="42"/>
  <c r="O574" i="42"/>
  <c r="L575" i="42"/>
  <c r="N575" i="42"/>
  <c r="O575" i="42"/>
  <c r="L576" i="42"/>
  <c r="N576" i="42"/>
  <c r="O576" i="42"/>
  <c r="L577" i="42"/>
  <c r="N577" i="42"/>
  <c r="O577" i="42"/>
  <c r="L578" i="42"/>
  <c r="N578" i="42"/>
  <c r="O578" i="42"/>
  <c r="L579" i="42"/>
  <c r="N579" i="42"/>
  <c r="O579" i="42"/>
  <c r="L580" i="42"/>
  <c r="N580" i="42"/>
  <c r="O580" i="42"/>
  <c r="L581" i="42"/>
  <c r="N581" i="42"/>
  <c r="O581" i="42"/>
  <c r="L582" i="42"/>
  <c r="N582" i="42"/>
  <c r="O582" i="42"/>
  <c r="L583" i="42"/>
  <c r="N583" i="42"/>
  <c r="O583" i="42"/>
  <c r="L584" i="42"/>
  <c r="N584" i="42"/>
  <c r="O584" i="42"/>
  <c r="L585" i="42"/>
  <c r="N585" i="42"/>
  <c r="O585" i="42"/>
  <c r="L586" i="42"/>
  <c r="N586" i="42"/>
  <c r="O586" i="42"/>
  <c r="L587" i="42"/>
  <c r="N587" i="42"/>
  <c r="O587" i="42"/>
  <c r="L588" i="42"/>
  <c r="N588" i="42"/>
  <c r="O588" i="42"/>
  <c r="L589" i="42"/>
  <c r="N589" i="42"/>
  <c r="O589" i="42"/>
  <c r="L590" i="42"/>
  <c r="N590" i="42"/>
  <c r="O590" i="42"/>
  <c r="L591" i="42"/>
  <c r="N591" i="42"/>
  <c r="O591" i="42"/>
  <c r="L592" i="42"/>
  <c r="N592" i="42"/>
  <c r="O592" i="42"/>
  <c r="L593" i="42"/>
  <c r="N593" i="42"/>
  <c r="O593" i="42"/>
  <c r="L594" i="42"/>
  <c r="N594" i="42"/>
  <c r="O594" i="42"/>
  <c r="L595" i="42"/>
  <c r="N595" i="42"/>
  <c r="O595" i="42"/>
  <c r="L596" i="42"/>
  <c r="N596" i="42"/>
  <c r="O596" i="42"/>
  <c r="L597" i="42"/>
  <c r="N597" i="42"/>
  <c r="O597" i="42"/>
  <c r="L598" i="42"/>
  <c r="N598" i="42"/>
  <c r="O598" i="42"/>
  <c r="L599" i="42"/>
  <c r="N599" i="42"/>
  <c r="O599" i="42"/>
  <c r="L600" i="42"/>
  <c r="N600" i="42"/>
  <c r="O600" i="42"/>
  <c r="L601" i="42"/>
  <c r="N601" i="42"/>
  <c r="O601" i="42"/>
  <c r="L602" i="42"/>
  <c r="N602" i="42"/>
  <c r="O602" i="42"/>
  <c r="L603" i="42"/>
  <c r="N603" i="42"/>
  <c r="O603" i="42"/>
  <c r="L604" i="42"/>
  <c r="N604" i="42"/>
  <c r="O604" i="42"/>
  <c r="L605" i="42"/>
  <c r="N605" i="42"/>
  <c r="O605" i="42"/>
  <c r="L606" i="42"/>
  <c r="N606" i="42"/>
  <c r="O606" i="42"/>
  <c r="L607" i="42"/>
  <c r="N607" i="42"/>
  <c r="O607" i="42"/>
  <c r="L608" i="42"/>
  <c r="N608" i="42"/>
  <c r="O608" i="42"/>
  <c r="L609" i="42"/>
  <c r="N609" i="42"/>
  <c r="O609" i="42"/>
  <c r="L610" i="42"/>
  <c r="N610" i="42"/>
  <c r="O610" i="42"/>
  <c r="L611" i="42"/>
  <c r="N611" i="42"/>
  <c r="O611" i="42"/>
  <c r="L612" i="42"/>
  <c r="N612" i="42"/>
  <c r="O612" i="42"/>
  <c r="L613" i="42"/>
  <c r="N613" i="42"/>
  <c r="O613" i="42"/>
  <c r="L614" i="42"/>
  <c r="N614" i="42"/>
  <c r="O614" i="42"/>
  <c r="L615" i="42"/>
  <c r="N615" i="42"/>
  <c r="O615" i="42"/>
  <c r="L616" i="42"/>
  <c r="N616" i="42"/>
  <c r="O616" i="42"/>
  <c r="L617" i="42"/>
  <c r="N617" i="42"/>
  <c r="O617" i="42"/>
  <c r="L618" i="42"/>
  <c r="N618" i="42"/>
  <c r="O618" i="42"/>
  <c r="L619" i="42"/>
  <c r="N619" i="42"/>
  <c r="O619" i="42"/>
  <c r="L620" i="42"/>
  <c r="N620" i="42"/>
  <c r="O620" i="42"/>
  <c r="L621" i="42"/>
  <c r="N621" i="42"/>
  <c r="O621" i="42"/>
  <c r="L622" i="42"/>
  <c r="N622" i="42"/>
  <c r="O622" i="42"/>
  <c r="L623" i="42"/>
  <c r="N623" i="42"/>
  <c r="O623" i="42"/>
  <c r="L624" i="42"/>
  <c r="N624" i="42"/>
  <c r="O624" i="42"/>
  <c r="L625" i="42"/>
  <c r="N625" i="42"/>
  <c r="O625" i="42"/>
  <c r="L626" i="42"/>
  <c r="N626" i="42"/>
  <c r="O626" i="42"/>
  <c r="L627" i="42"/>
  <c r="N627" i="42"/>
  <c r="O627" i="42"/>
  <c r="L628" i="42"/>
  <c r="N628" i="42"/>
  <c r="O628" i="42"/>
  <c r="L629" i="42"/>
  <c r="N629" i="42"/>
  <c r="O629" i="42"/>
  <c r="L630" i="42"/>
  <c r="N630" i="42"/>
  <c r="O630" i="42"/>
  <c r="L631" i="42"/>
  <c r="N631" i="42"/>
  <c r="O631" i="42"/>
  <c r="L632" i="42"/>
  <c r="N632" i="42"/>
  <c r="O632" i="42"/>
  <c r="L633" i="42"/>
  <c r="N633" i="42"/>
  <c r="O633" i="42"/>
  <c r="L634" i="42"/>
  <c r="N634" i="42"/>
  <c r="O634" i="42"/>
  <c r="L635" i="42"/>
  <c r="N635" i="42"/>
  <c r="O635" i="42"/>
  <c r="L636" i="42"/>
  <c r="N636" i="42"/>
  <c r="O636" i="42"/>
  <c r="L637" i="42"/>
  <c r="N637" i="42"/>
  <c r="O637" i="42"/>
  <c r="L638" i="42"/>
  <c r="N638" i="42"/>
  <c r="O638" i="42"/>
  <c r="L639" i="42"/>
  <c r="N639" i="42"/>
  <c r="O639" i="42"/>
  <c r="L640" i="42"/>
  <c r="N640" i="42"/>
  <c r="O640" i="42"/>
  <c r="L641" i="42"/>
  <c r="N641" i="42"/>
  <c r="O641" i="42"/>
  <c r="L642" i="42"/>
  <c r="N642" i="42"/>
  <c r="O642" i="42"/>
  <c r="L643" i="42"/>
  <c r="N643" i="42"/>
  <c r="O643" i="42"/>
  <c r="L644" i="42"/>
  <c r="N644" i="42"/>
  <c r="O644" i="42"/>
  <c r="L645" i="42"/>
  <c r="N645" i="42"/>
  <c r="O645" i="42"/>
  <c r="L646" i="42"/>
  <c r="N646" i="42"/>
  <c r="O646" i="42"/>
  <c r="L647" i="42"/>
  <c r="N647" i="42"/>
  <c r="O647" i="42"/>
  <c r="L648" i="42"/>
  <c r="N648" i="42"/>
  <c r="O648" i="42"/>
  <c r="L649" i="42"/>
  <c r="N649" i="42"/>
  <c r="O649" i="42"/>
  <c r="L650" i="42"/>
  <c r="N650" i="42"/>
  <c r="O650" i="42"/>
  <c r="L651" i="42"/>
  <c r="N651" i="42"/>
  <c r="O651" i="42"/>
  <c r="L652" i="42"/>
  <c r="N652" i="42"/>
  <c r="O652" i="42"/>
  <c r="L653" i="42"/>
  <c r="N653" i="42"/>
  <c r="O653" i="42"/>
  <c r="L654" i="42"/>
  <c r="N654" i="42"/>
  <c r="O654" i="42"/>
  <c r="L655" i="42"/>
  <c r="N655" i="42"/>
  <c r="O655" i="42"/>
  <c r="L656" i="42"/>
  <c r="N656" i="42"/>
  <c r="O656" i="42"/>
  <c r="L657" i="42"/>
  <c r="N657" i="42"/>
  <c r="O657" i="42"/>
  <c r="L658" i="42"/>
  <c r="N658" i="42"/>
  <c r="O658" i="42"/>
  <c r="L659" i="42"/>
  <c r="N659" i="42"/>
  <c r="O659" i="42"/>
  <c r="L660" i="42"/>
  <c r="N660" i="42"/>
  <c r="O660" i="42"/>
  <c r="L661" i="42"/>
  <c r="N661" i="42"/>
  <c r="O661" i="42"/>
  <c r="L662" i="42"/>
  <c r="N662" i="42"/>
  <c r="O662" i="42"/>
  <c r="L663" i="42"/>
  <c r="N663" i="42"/>
  <c r="O663" i="42"/>
  <c r="L664" i="42"/>
  <c r="N664" i="42"/>
  <c r="O664" i="42"/>
  <c r="L665" i="42"/>
  <c r="N665" i="42"/>
  <c r="O665" i="42"/>
  <c r="L666" i="42"/>
  <c r="N666" i="42"/>
  <c r="O666" i="42"/>
  <c r="L667" i="42"/>
  <c r="N667" i="42"/>
  <c r="O667" i="42"/>
  <c r="L668" i="42"/>
  <c r="N668" i="42"/>
  <c r="O668" i="42"/>
  <c r="L669" i="42"/>
  <c r="N669" i="42"/>
  <c r="O669" i="42"/>
  <c r="L670" i="42"/>
  <c r="N670" i="42"/>
  <c r="O670" i="42"/>
  <c r="L671" i="42"/>
  <c r="N671" i="42"/>
  <c r="O671" i="42"/>
  <c r="L672" i="42"/>
  <c r="N672" i="42"/>
  <c r="O672" i="42"/>
  <c r="L673" i="42"/>
  <c r="N673" i="42"/>
  <c r="O673" i="42"/>
  <c r="L674" i="42"/>
  <c r="N674" i="42"/>
  <c r="O674" i="42"/>
  <c r="L675" i="42"/>
  <c r="N675" i="42"/>
  <c r="O675" i="42"/>
  <c r="L676" i="42"/>
  <c r="N676" i="42"/>
  <c r="O676" i="42"/>
  <c r="L677" i="42"/>
  <c r="N677" i="42"/>
  <c r="O677" i="42"/>
  <c r="L678" i="42"/>
  <c r="N678" i="42"/>
  <c r="O678" i="42"/>
  <c r="L679" i="42"/>
  <c r="N679" i="42"/>
  <c r="O679" i="42"/>
  <c r="L680" i="42"/>
  <c r="O680" i="42"/>
  <c r="L681" i="42"/>
  <c r="O681" i="42"/>
  <c r="L682" i="42"/>
  <c r="O682" i="42"/>
  <c r="L683" i="42"/>
  <c r="O683" i="42"/>
  <c r="O684" i="42"/>
  <c r="O685" i="42"/>
  <c r="O686" i="42"/>
  <c r="O687" i="42"/>
  <c r="O688" i="42"/>
  <c r="O689" i="42"/>
  <c r="O690" i="42"/>
  <c r="O691" i="42"/>
  <c r="O692" i="42"/>
  <c r="O693" i="42"/>
  <c r="O694" i="42"/>
  <c r="O695" i="42"/>
  <c r="O696" i="42"/>
  <c r="O697" i="42"/>
  <c r="O698" i="42"/>
  <c r="O699" i="42"/>
  <c r="O700" i="42"/>
  <c r="O701" i="42"/>
  <c r="L702" i="42"/>
  <c r="O702" i="42"/>
  <c r="L703" i="42"/>
  <c r="O703" i="42"/>
  <c r="L704" i="42"/>
  <c r="O704" i="42"/>
  <c r="L705" i="42"/>
  <c r="O705" i="42"/>
  <c r="L706" i="42"/>
  <c r="O706" i="42"/>
  <c r="L707" i="42"/>
  <c r="O707" i="42"/>
  <c r="L708" i="42"/>
  <c r="O708" i="42"/>
  <c r="L709" i="42"/>
  <c r="O709" i="42"/>
  <c r="L710" i="42"/>
  <c r="O710" i="42"/>
  <c r="L711" i="42"/>
  <c r="O711" i="42"/>
  <c r="L712" i="42"/>
  <c r="O712" i="42"/>
  <c r="L713" i="42"/>
  <c r="O713" i="42"/>
  <c r="L714" i="42"/>
  <c r="O714" i="42"/>
  <c r="L715" i="42"/>
  <c r="O715" i="42"/>
  <c r="L716" i="42"/>
  <c r="O716" i="42"/>
  <c r="L717" i="42"/>
  <c r="O717" i="42"/>
  <c r="L718" i="42"/>
  <c r="O718" i="42"/>
  <c r="L719" i="42"/>
  <c r="O719" i="42"/>
  <c r="L720" i="42"/>
  <c r="O720" i="42"/>
  <c r="L721" i="42"/>
  <c r="O721" i="42"/>
  <c r="L722" i="42"/>
  <c r="O722" i="42"/>
  <c r="L723" i="42"/>
  <c r="O723" i="42"/>
  <c r="L724" i="42"/>
  <c r="O724" i="42"/>
  <c r="L725" i="42"/>
  <c r="O725" i="42"/>
  <c r="L726" i="42"/>
  <c r="O726" i="42"/>
  <c r="L727" i="42"/>
  <c r="O727" i="42"/>
  <c r="L728" i="42"/>
  <c r="O728" i="42"/>
  <c r="L729" i="42"/>
  <c r="O729" i="42"/>
  <c r="L730" i="42"/>
  <c r="O730" i="42"/>
  <c r="L731" i="42"/>
  <c r="O731" i="42"/>
  <c r="L732" i="42"/>
  <c r="O732" i="42"/>
  <c r="L733" i="42"/>
  <c r="O733" i="42"/>
  <c r="L734" i="42"/>
  <c r="O734" i="42"/>
  <c r="L735" i="42"/>
  <c r="O735" i="42"/>
  <c r="L736" i="42"/>
  <c r="O736" i="42"/>
  <c r="L737" i="42"/>
  <c r="O737" i="42"/>
  <c r="L738" i="42"/>
  <c r="O738" i="42"/>
  <c r="L739" i="42"/>
  <c r="O739" i="42"/>
  <c r="L740" i="42"/>
  <c r="O740" i="42"/>
  <c r="L741" i="42"/>
  <c r="O741" i="42"/>
  <c r="L742" i="42"/>
  <c r="O742" i="42"/>
  <c r="L743" i="42"/>
  <c r="O743" i="42"/>
  <c r="L744" i="42"/>
  <c r="O744" i="42"/>
  <c r="L745" i="42"/>
  <c r="O745" i="42"/>
  <c r="L746" i="42"/>
  <c r="O746" i="42"/>
  <c r="L747" i="42"/>
  <c r="O747" i="42"/>
  <c r="L748" i="42"/>
  <c r="O748" i="42"/>
  <c r="L749" i="42"/>
  <c r="O749" i="42"/>
  <c r="L750" i="42"/>
  <c r="O750" i="42"/>
  <c r="L751" i="42"/>
  <c r="O751" i="42"/>
  <c r="L752" i="42"/>
  <c r="O752" i="42"/>
  <c r="L753" i="42"/>
  <c r="O753" i="42"/>
  <c r="L754" i="42"/>
  <c r="O754" i="42"/>
  <c r="L755" i="42"/>
  <c r="O755" i="42"/>
  <c r="L756" i="42"/>
  <c r="O756" i="42"/>
  <c r="O757" i="42"/>
  <c r="L758" i="42"/>
  <c r="O758" i="42"/>
  <c r="L759" i="42"/>
  <c r="O759" i="42"/>
  <c r="L760" i="42"/>
  <c r="O760" i="42"/>
  <c r="L761" i="42"/>
  <c r="O761" i="42"/>
  <c r="L762" i="42"/>
  <c r="O762" i="42"/>
  <c r="L763" i="42"/>
  <c r="O763" i="42"/>
  <c r="L764" i="42"/>
  <c r="O764" i="42"/>
  <c r="L765" i="42"/>
  <c r="O765" i="42"/>
  <c r="L766" i="42"/>
  <c r="O766" i="42"/>
  <c r="L767" i="42"/>
  <c r="O767" i="42"/>
  <c r="L768" i="42"/>
  <c r="O768" i="42"/>
  <c r="L769" i="42"/>
  <c r="O769" i="42"/>
  <c r="L770" i="42"/>
  <c r="O770" i="42"/>
  <c r="L771" i="42"/>
  <c r="O771" i="42"/>
  <c r="L772" i="42"/>
  <c r="O772" i="42"/>
  <c r="L773" i="42"/>
  <c r="O773" i="42"/>
  <c r="L774" i="42"/>
  <c r="O774" i="42"/>
  <c r="L775" i="42"/>
  <c r="O775" i="42"/>
  <c r="L776" i="42"/>
  <c r="O776" i="42"/>
  <c r="L777" i="42"/>
  <c r="O777" i="42"/>
  <c r="L778" i="42"/>
  <c r="O778" i="42"/>
  <c r="L779" i="42"/>
  <c r="O779" i="42"/>
  <c r="L780" i="42"/>
  <c r="O780" i="42"/>
  <c r="L781" i="42"/>
  <c r="O781" i="42"/>
  <c r="L782" i="42"/>
  <c r="O782" i="42"/>
  <c r="L783" i="42"/>
  <c r="O783" i="42"/>
  <c r="L784" i="42"/>
  <c r="O784" i="42"/>
  <c r="L785" i="42"/>
  <c r="O785" i="42"/>
  <c r="L786" i="42"/>
  <c r="O786" i="42"/>
  <c r="L787" i="42"/>
  <c r="O787" i="42"/>
  <c r="L788" i="42"/>
  <c r="O788" i="42"/>
  <c r="L789" i="42"/>
  <c r="O789" i="42"/>
  <c r="L790" i="42"/>
  <c r="O790" i="42"/>
  <c r="L791" i="42"/>
  <c r="O791" i="42"/>
  <c r="L792" i="42"/>
  <c r="O792" i="42"/>
  <c r="L793" i="42"/>
  <c r="O793" i="42"/>
  <c r="L794" i="42"/>
  <c r="O794" i="42"/>
  <c r="L795" i="42"/>
  <c r="O795" i="42"/>
  <c r="L796" i="42"/>
  <c r="O796" i="42"/>
  <c r="L797" i="42"/>
  <c r="O797" i="42"/>
  <c r="L798" i="42"/>
  <c r="O798" i="42"/>
  <c r="L799" i="42"/>
  <c r="O799" i="42"/>
  <c r="L800" i="42"/>
  <c r="O800" i="42"/>
  <c r="L801" i="42"/>
  <c r="O801" i="42"/>
  <c r="L802" i="42"/>
  <c r="O802" i="42"/>
  <c r="L803" i="42"/>
  <c r="O803" i="42"/>
  <c r="L804" i="42"/>
  <c r="O804" i="42"/>
  <c r="L805" i="42"/>
  <c r="O805" i="42"/>
  <c r="L806" i="42"/>
  <c r="O806" i="42"/>
  <c r="L807" i="42"/>
  <c r="O807" i="42"/>
  <c r="L808" i="42"/>
  <c r="O808" i="42"/>
  <c r="L809" i="42"/>
  <c r="O809" i="42"/>
  <c r="L810" i="42"/>
  <c r="O810" i="42"/>
  <c r="L811" i="42"/>
  <c r="O811" i="42"/>
  <c r="L812" i="42"/>
  <c r="O812" i="42"/>
  <c r="L813" i="42"/>
  <c r="O813" i="42"/>
  <c r="L814" i="42"/>
  <c r="O814" i="42"/>
  <c r="L815" i="42"/>
  <c r="O815" i="42"/>
  <c r="L816" i="42"/>
  <c r="O816" i="42"/>
  <c r="L817" i="42"/>
  <c r="O817" i="42"/>
  <c r="L818" i="42"/>
  <c r="O818" i="42"/>
  <c r="L819" i="42"/>
  <c r="O819" i="42"/>
  <c r="L820" i="42"/>
  <c r="O820" i="42"/>
  <c r="L821" i="42"/>
  <c r="O821" i="42"/>
  <c r="L822" i="42"/>
  <c r="O822" i="42"/>
  <c r="L823" i="42"/>
  <c r="O823" i="42"/>
  <c r="L824" i="42"/>
  <c r="O824" i="42"/>
  <c r="L825" i="42"/>
  <c r="O825" i="42"/>
  <c r="L826" i="42"/>
  <c r="O826" i="42"/>
  <c r="L827" i="42"/>
  <c r="O827" i="42"/>
  <c r="L828" i="42"/>
  <c r="O828" i="42"/>
  <c r="L829" i="42"/>
  <c r="O829" i="42"/>
  <c r="L830" i="42"/>
  <c r="O830" i="42"/>
  <c r="L831" i="42"/>
  <c r="O831" i="42"/>
  <c r="L832" i="42"/>
  <c r="O832" i="42"/>
  <c r="L833" i="42"/>
  <c r="O833" i="42"/>
  <c r="L834" i="42"/>
  <c r="O834" i="42"/>
  <c r="P834" i="42" s="1"/>
  <c r="Q834" i="42" s="1"/>
  <c r="L835" i="42"/>
  <c r="O835" i="42"/>
  <c r="P835" i="42" s="1"/>
  <c r="Q835" i="42" s="1"/>
  <c r="L836" i="42"/>
  <c r="O836" i="42"/>
  <c r="P836" i="42" s="1"/>
  <c r="Q836" i="42" s="1"/>
  <c r="L837" i="42"/>
  <c r="O837" i="42"/>
  <c r="P837" i="42" s="1"/>
  <c r="Q837" i="42" s="1"/>
  <c r="L838" i="42"/>
  <c r="O838" i="42"/>
  <c r="L839" i="42"/>
  <c r="O839" i="42"/>
  <c r="L840" i="42"/>
  <c r="O840" i="42"/>
  <c r="L841" i="42"/>
  <c r="O841" i="42"/>
  <c r="L842" i="42"/>
  <c r="O842" i="42"/>
  <c r="L843" i="42"/>
  <c r="O843" i="42"/>
  <c r="L844" i="42"/>
  <c r="O844" i="42"/>
  <c r="L845" i="42"/>
  <c r="O845" i="42"/>
  <c r="L846" i="42"/>
  <c r="O846" i="42"/>
  <c r="L847" i="42"/>
  <c r="O847" i="42"/>
  <c r="L848" i="42"/>
  <c r="O848" i="42"/>
  <c r="L849" i="42"/>
  <c r="O849" i="42"/>
  <c r="L850" i="42"/>
  <c r="O850" i="42"/>
  <c r="L851" i="42"/>
  <c r="O851" i="42"/>
  <c r="L852" i="42"/>
  <c r="O852" i="42"/>
  <c r="L853" i="42"/>
  <c r="O853" i="42"/>
  <c r="L854" i="42"/>
  <c r="O854" i="42"/>
  <c r="L855" i="42"/>
  <c r="O855" i="42"/>
  <c r="L856" i="42"/>
  <c r="O856" i="42"/>
  <c r="L857" i="42"/>
  <c r="O857" i="42"/>
  <c r="L858" i="42"/>
  <c r="O858" i="42"/>
  <c r="L859" i="42"/>
  <c r="O859" i="42"/>
  <c r="L860" i="42"/>
  <c r="O860" i="42"/>
  <c r="L861" i="42"/>
  <c r="O861" i="42"/>
  <c r="L862" i="42"/>
  <c r="O862" i="42"/>
  <c r="L863" i="42"/>
  <c r="O863" i="42"/>
  <c r="L864" i="42"/>
  <c r="O864" i="42"/>
  <c r="L865" i="42"/>
  <c r="O865" i="42"/>
  <c r="L866" i="42"/>
  <c r="L867" i="42"/>
  <c r="O867" i="42"/>
  <c r="L868" i="42"/>
  <c r="O868" i="42"/>
  <c r="L869" i="42"/>
  <c r="O869" i="42"/>
  <c r="L870" i="42"/>
  <c r="O870" i="42"/>
  <c r="L871" i="42"/>
  <c r="O871" i="42"/>
  <c r="L872" i="42"/>
  <c r="O872" i="42"/>
  <c r="L873" i="42"/>
  <c r="O873" i="42"/>
  <c r="L874" i="42"/>
  <c r="O874" i="42"/>
  <c r="L875" i="42"/>
  <c r="O875" i="42"/>
  <c r="L876" i="42"/>
  <c r="O876" i="42"/>
  <c r="L877" i="42"/>
  <c r="O877" i="42"/>
  <c r="L878" i="42"/>
  <c r="O878" i="42"/>
  <c r="L879" i="42"/>
  <c r="O879" i="42"/>
  <c r="L880" i="42"/>
  <c r="O880" i="42"/>
  <c r="L881" i="42"/>
  <c r="O881" i="42"/>
  <c r="L882" i="42"/>
  <c r="O882" i="42"/>
  <c r="L883" i="42"/>
  <c r="O883" i="42"/>
  <c r="L884" i="42"/>
  <c r="O884" i="42"/>
  <c r="L885" i="42"/>
  <c r="O885" i="42"/>
  <c r="L886" i="42"/>
  <c r="O886" i="42"/>
  <c r="L887" i="42"/>
  <c r="O887" i="42"/>
  <c r="L888" i="42"/>
  <c r="O888" i="42"/>
  <c r="L889" i="42"/>
  <c r="O889" i="42"/>
  <c r="L890" i="42"/>
  <c r="O890" i="42"/>
  <c r="L891" i="42"/>
  <c r="O891" i="42"/>
  <c r="L892" i="42"/>
  <c r="O892" i="42"/>
  <c r="L893" i="42"/>
  <c r="O893" i="42"/>
  <c r="L894" i="42"/>
  <c r="O894" i="42"/>
  <c r="L895" i="42"/>
  <c r="O895" i="42"/>
  <c r="L896" i="42"/>
  <c r="O896" i="42"/>
  <c r="L897" i="42"/>
  <c r="O897" i="42"/>
  <c r="L898" i="42"/>
  <c r="O898" i="42"/>
  <c r="L899" i="42"/>
  <c r="O899" i="42"/>
  <c r="L900" i="42"/>
  <c r="O900" i="42"/>
  <c r="L901" i="42"/>
  <c r="O901" i="42"/>
  <c r="L902" i="42"/>
  <c r="O902" i="42"/>
  <c r="L903" i="42"/>
  <c r="O903" i="42"/>
  <c r="L904" i="42"/>
  <c r="O904" i="42"/>
  <c r="L905" i="42"/>
  <c r="O905" i="42"/>
  <c r="L906" i="42"/>
  <c r="O906" i="42"/>
  <c r="L907" i="42"/>
  <c r="O907" i="42"/>
  <c r="L908" i="42"/>
  <c r="O908" i="42"/>
  <c r="L909" i="42"/>
  <c r="O909" i="42"/>
  <c r="L910" i="42"/>
  <c r="O910" i="42"/>
  <c r="L911" i="42"/>
  <c r="O911" i="42"/>
  <c r="L912" i="42"/>
  <c r="O912" i="42"/>
  <c r="L913" i="42"/>
  <c r="O913" i="42"/>
  <c r="L914" i="42"/>
  <c r="O914" i="42"/>
  <c r="L915" i="42"/>
  <c r="O915" i="42"/>
  <c r="L916" i="42"/>
  <c r="O916" i="42"/>
  <c r="L917" i="42"/>
  <c r="O917" i="42"/>
  <c r="L918" i="42"/>
  <c r="O918" i="42"/>
  <c r="L919" i="42"/>
  <c r="O919" i="42"/>
  <c r="L920" i="42"/>
  <c r="O920" i="42"/>
  <c r="L921" i="42"/>
  <c r="O921" i="42"/>
  <c r="L922" i="42"/>
  <c r="O922" i="42"/>
  <c r="L923" i="42"/>
  <c r="O923" i="42"/>
  <c r="L924" i="42"/>
  <c r="O924" i="42"/>
  <c r="L925" i="42"/>
  <c r="O925" i="42"/>
  <c r="L926" i="42"/>
  <c r="O926" i="42"/>
  <c r="L927" i="42"/>
  <c r="O927" i="42"/>
  <c r="L928" i="42"/>
  <c r="O928" i="42"/>
  <c r="L929" i="42"/>
  <c r="O929" i="42"/>
  <c r="L930" i="42"/>
  <c r="O930" i="42"/>
  <c r="L931" i="42"/>
  <c r="O931" i="42"/>
  <c r="L932" i="42"/>
  <c r="O932" i="42"/>
  <c r="L933" i="42"/>
  <c r="O933" i="42"/>
  <c r="L934" i="42"/>
  <c r="O934" i="42"/>
  <c r="L935" i="42"/>
  <c r="O935" i="42"/>
  <c r="L936" i="42"/>
  <c r="O936" i="42"/>
  <c r="L937" i="42"/>
  <c r="O937" i="42"/>
  <c r="L938" i="42"/>
  <c r="O938" i="42"/>
  <c r="L939" i="42"/>
  <c r="O939" i="42"/>
  <c r="L940" i="42"/>
  <c r="O940" i="42"/>
  <c r="L941" i="42"/>
  <c r="O941" i="42"/>
  <c r="L942" i="42"/>
  <c r="O942" i="42"/>
  <c r="L943" i="42"/>
  <c r="O943" i="42"/>
  <c r="L944" i="42"/>
  <c r="O944" i="42"/>
  <c r="L945" i="42"/>
  <c r="O945" i="42"/>
  <c r="L946" i="42"/>
  <c r="O946" i="42"/>
  <c r="L947" i="42"/>
  <c r="O947" i="42"/>
  <c r="L948" i="42"/>
  <c r="O948" i="42"/>
  <c r="L949" i="42"/>
  <c r="O949" i="42"/>
  <c r="L950" i="42"/>
  <c r="O950" i="42"/>
  <c r="L951" i="42"/>
  <c r="O951" i="42"/>
  <c r="L952" i="42"/>
  <c r="O952" i="42"/>
  <c r="L953" i="42"/>
  <c r="O953" i="42"/>
  <c r="L954" i="42"/>
  <c r="O954" i="42"/>
  <c r="L955" i="42"/>
  <c r="O955" i="42"/>
  <c r="L956" i="42"/>
  <c r="O956" i="42"/>
  <c r="L957" i="42"/>
  <c r="O957" i="42"/>
  <c r="L958" i="42"/>
  <c r="O958" i="42"/>
  <c r="L959" i="42"/>
  <c r="O959" i="42"/>
  <c r="L960" i="42"/>
  <c r="O960" i="42"/>
  <c r="L961" i="42"/>
  <c r="O961" i="42"/>
  <c r="L962" i="42"/>
  <c r="O962" i="42"/>
  <c r="L963" i="42"/>
  <c r="O963" i="42"/>
  <c r="L964" i="42"/>
  <c r="O964" i="42"/>
  <c r="L965" i="42"/>
  <c r="O965" i="42"/>
  <c r="L966" i="42"/>
  <c r="O966" i="42"/>
  <c r="L967" i="42"/>
  <c r="O967" i="42"/>
  <c r="L968" i="42"/>
  <c r="O968" i="42"/>
  <c r="L969" i="42"/>
  <c r="O969" i="42"/>
  <c r="L970" i="42"/>
  <c r="O970" i="42"/>
  <c r="L971" i="42"/>
  <c r="O971" i="42"/>
  <c r="L972" i="42"/>
  <c r="O972" i="42"/>
  <c r="L973" i="42"/>
  <c r="O973" i="42"/>
  <c r="L974" i="42"/>
  <c r="O974" i="42"/>
  <c r="L975" i="42"/>
  <c r="O975" i="42"/>
  <c r="L976" i="42"/>
  <c r="O976" i="42"/>
  <c r="L977" i="42"/>
  <c r="O977" i="42"/>
  <c r="L978" i="42"/>
  <c r="O978" i="42"/>
  <c r="L979" i="42"/>
  <c r="O979" i="42"/>
  <c r="L980" i="42"/>
  <c r="O980" i="42"/>
  <c r="L981" i="42"/>
  <c r="O981" i="42"/>
  <c r="L982" i="42"/>
  <c r="O982" i="42"/>
  <c r="L983" i="42"/>
  <c r="O983" i="42"/>
  <c r="L984" i="42"/>
  <c r="O984" i="42"/>
  <c r="L985" i="42"/>
  <c r="O985" i="42"/>
  <c r="L986" i="42"/>
  <c r="O986" i="42"/>
  <c r="L987" i="42"/>
  <c r="O987" i="42"/>
  <c r="L988" i="42"/>
  <c r="O988" i="42"/>
  <c r="L989" i="42"/>
  <c r="O989" i="42"/>
  <c r="L990" i="42"/>
  <c r="O990" i="42"/>
  <c r="L991" i="42"/>
  <c r="O991" i="42"/>
  <c r="L992" i="42"/>
  <c r="O992" i="42"/>
  <c r="L993" i="42"/>
  <c r="O993" i="42"/>
  <c r="L994" i="42"/>
  <c r="O994" i="42"/>
  <c r="L995" i="42"/>
  <c r="O995" i="42"/>
  <c r="L996" i="42"/>
  <c r="O996" i="42"/>
  <c r="L997" i="42"/>
  <c r="O997" i="42"/>
  <c r="L998" i="42"/>
  <c r="O998" i="42"/>
  <c r="L999" i="42"/>
  <c r="O999" i="42"/>
  <c r="L1000" i="42"/>
  <c r="O1000" i="42"/>
  <c r="L1001" i="42"/>
  <c r="O1001" i="42"/>
  <c r="L1002" i="42"/>
  <c r="O1002" i="42"/>
  <c r="L1003" i="42"/>
  <c r="O1003" i="42"/>
  <c r="L1004" i="42"/>
  <c r="O1004" i="42"/>
  <c r="L1005" i="42"/>
  <c r="O1005" i="42"/>
  <c r="L1006" i="42"/>
  <c r="O1006" i="42"/>
  <c r="L1007" i="42"/>
  <c r="O1007" i="42"/>
  <c r="L1008" i="42"/>
  <c r="O1008" i="42"/>
  <c r="L1009" i="42"/>
  <c r="O1009" i="42"/>
  <c r="L1010" i="42"/>
  <c r="O1010" i="42"/>
  <c r="L1011" i="42"/>
  <c r="O1011" i="42"/>
  <c r="L1012" i="42"/>
  <c r="O1012" i="42"/>
  <c r="L1013" i="42"/>
  <c r="O1013" i="42"/>
  <c r="L1014" i="42"/>
  <c r="O1014" i="42"/>
  <c r="L1015" i="42"/>
  <c r="O1015" i="42"/>
  <c r="L1016" i="42"/>
  <c r="O1016" i="42"/>
  <c r="L1017" i="42"/>
  <c r="O1017" i="42"/>
  <c r="L1018" i="42"/>
  <c r="O1018" i="42"/>
  <c r="L1019" i="42"/>
  <c r="O1019" i="42"/>
  <c r="L1020" i="42"/>
  <c r="O1020" i="42"/>
  <c r="L1021" i="42"/>
  <c r="O1021" i="42"/>
  <c r="L1022" i="42"/>
  <c r="O1022" i="42"/>
  <c r="L1023" i="42"/>
  <c r="O1023" i="42"/>
  <c r="L1024" i="42"/>
  <c r="O1024" i="42"/>
  <c r="L1025" i="42"/>
  <c r="O1025" i="42"/>
  <c r="L1026" i="42"/>
  <c r="O1026" i="42"/>
  <c r="L1027" i="42"/>
  <c r="O1027" i="42"/>
  <c r="L1028" i="42"/>
  <c r="O1028" i="42"/>
  <c r="L1029" i="42"/>
  <c r="O1029" i="42"/>
  <c r="L1030" i="42"/>
  <c r="O1030" i="42"/>
  <c r="L1031" i="42"/>
  <c r="O1031" i="42"/>
  <c r="L1032" i="42"/>
  <c r="O1032" i="42"/>
  <c r="L1033" i="42"/>
  <c r="O1033" i="42"/>
  <c r="L1034" i="42"/>
  <c r="O1034" i="42"/>
  <c r="L1035" i="42"/>
  <c r="O1035" i="42"/>
  <c r="L1036" i="42"/>
  <c r="O1036" i="42"/>
  <c r="L1037" i="42"/>
  <c r="O1037" i="42"/>
  <c r="L1038" i="42"/>
  <c r="O1038" i="42"/>
  <c r="L1039" i="42"/>
  <c r="O1039" i="42"/>
  <c r="L1040" i="42"/>
  <c r="O1040" i="42"/>
  <c r="L1041" i="42"/>
  <c r="O1041" i="42"/>
  <c r="L1042" i="42"/>
  <c r="O1042" i="42"/>
  <c r="L1043" i="42"/>
  <c r="O1043" i="42"/>
  <c r="L1044" i="42"/>
  <c r="O1044" i="42"/>
  <c r="L1045" i="42"/>
  <c r="O1045" i="42"/>
  <c r="L1046" i="42"/>
  <c r="O1046" i="42"/>
  <c r="L1047" i="42"/>
  <c r="O1047" i="42"/>
  <c r="L1048" i="42"/>
  <c r="O1048" i="42"/>
  <c r="L1049" i="42"/>
  <c r="O1049" i="42"/>
  <c r="L1050" i="42"/>
  <c r="O1050" i="42"/>
  <c r="L1051" i="42"/>
  <c r="O1051" i="42"/>
  <c r="L1052" i="42"/>
  <c r="O1052" i="42"/>
  <c r="L1053" i="42"/>
  <c r="O1053" i="42"/>
  <c r="L1054" i="42"/>
  <c r="O1054" i="42"/>
  <c r="L1055" i="42"/>
  <c r="O1055" i="42"/>
  <c r="L1056" i="42"/>
  <c r="O1056" i="42"/>
  <c r="L1057" i="42"/>
  <c r="O1057" i="42"/>
  <c r="L1058" i="42"/>
  <c r="O1058" i="42"/>
  <c r="L1059" i="42"/>
  <c r="O1059" i="42"/>
  <c r="L1060" i="42"/>
  <c r="O1060" i="42"/>
  <c r="L1061" i="42"/>
  <c r="O1061" i="42"/>
  <c r="L1062" i="42"/>
  <c r="O1062" i="42"/>
  <c r="L1063" i="42"/>
  <c r="O1063" i="42"/>
  <c r="L1064" i="42"/>
  <c r="O1064" i="42"/>
  <c r="L1065" i="42"/>
  <c r="O1065" i="42"/>
  <c r="L1066" i="42"/>
  <c r="O1066" i="42"/>
  <c r="L1067" i="42"/>
  <c r="O1067" i="42"/>
  <c r="L1068" i="42"/>
  <c r="O1068" i="42"/>
  <c r="L1069" i="42"/>
  <c r="O1069" i="42"/>
  <c r="L1070" i="42"/>
  <c r="O1070" i="42"/>
  <c r="L1071" i="42"/>
  <c r="O1071" i="42"/>
  <c r="L1072" i="42"/>
  <c r="O1072" i="42"/>
  <c r="L1073" i="42"/>
  <c r="O1073" i="42"/>
  <c r="L1074" i="42"/>
  <c r="O1074" i="42"/>
  <c r="L1075" i="42"/>
  <c r="O1075" i="42"/>
  <c r="L1076" i="42"/>
  <c r="O1076" i="42"/>
  <c r="L1077" i="42"/>
  <c r="O1077" i="42"/>
  <c r="L1078" i="42"/>
  <c r="O1078" i="42"/>
  <c r="L1079" i="42"/>
  <c r="O1079" i="42"/>
  <c r="L1080" i="42"/>
  <c r="O1080" i="42"/>
  <c r="L1081" i="42"/>
  <c r="O1081" i="42"/>
  <c r="L1082" i="42"/>
  <c r="O1082" i="42"/>
  <c r="L1083" i="42"/>
  <c r="O1083" i="42"/>
  <c r="L1084" i="42"/>
  <c r="O1084" i="42"/>
  <c r="L1085" i="42"/>
  <c r="O1085" i="42"/>
  <c r="L1086" i="42"/>
  <c r="O1086" i="42"/>
  <c r="L1087" i="42"/>
  <c r="O1087" i="42"/>
  <c r="L1088" i="42"/>
  <c r="O1088" i="42"/>
  <c r="L1089" i="42"/>
  <c r="O1089" i="42"/>
  <c r="L1090" i="42"/>
  <c r="O1090" i="42"/>
  <c r="L1091" i="42"/>
  <c r="O1091" i="42"/>
  <c r="L1092" i="42"/>
  <c r="O1092" i="42"/>
  <c r="L1093" i="42"/>
  <c r="O1093" i="42"/>
  <c r="L1094" i="42"/>
  <c r="O1094" i="42"/>
  <c r="L1095" i="42"/>
  <c r="O1095" i="42"/>
  <c r="L1096" i="42"/>
  <c r="O1096" i="42"/>
  <c r="L1097" i="42"/>
  <c r="O1097" i="42"/>
  <c r="L1098" i="42"/>
  <c r="O1098" i="42"/>
  <c r="L1099" i="42"/>
  <c r="O1099" i="42"/>
  <c r="L1100" i="42"/>
  <c r="O1100" i="42"/>
  <c r="L1101" i="42"/>
  <c r="O1101" i="42"/>
  <c r="L1102" i="42"/>
  <c r="O1102" i="42"/>
  <c r="L1103" i="42"/>
  <c r="O1103" i="42"/>
  <c r="L1104" i="42"/>
  <c r="O1104" i="42"/>
  <c r="L1105" i="42"/>
  <c r="O1105" i="42"/>
  <c r="L1106" i="42"/>
  <c r="O1106" i="42"/>
  <c r="L1107" i="42"/>
  <c r="O1107" i="42"/>
  <c r="L1108" i="42"/>
  <c r="O1108" i="42"/>
  <c r="L1109" i="42"/>
  <c r="O1109" i="42"/>
  <c r="L1110" i="42"/>
  <c r="O1110" i="42"/>
  <c r="L1111" i="42"/>
  <c r="O1111" i="42"/>
  <c r="L1112" i="42"/>
  <c r="O1112" i="42"/>
  <c r="L1113" i="42"/>
  <c r="O1113" i="42"/>
  <c r="L1114" i="42"/>
  <c r="O1114" i="42"/>
  <c r="L1115" i="42"/>
  <c r="O1115" i="42"/>
  <c r="L1116" i="42"/>
  <c r="O1116" i="42"/>
  <c r="L1117" i="42"/>
  <c r="O1117" i="42"/>
  <c r="L1118" i="42"/>
  <c r="O1118" i="42"/>
  <c r="L1119" i="42"/>
  <c r="O1119" i="42"/>
  <c r="L1120" i="42"/>
  <c r="O1120" i="42"/>
  <c r="L1121" i="42"/>
  <c r="O1121" i="42"/>
  <c r="L1122" i="42"/>
  <c r="O1122" i="42"/>
  <c r="L1123" i="42"/>
  <c r="O1123" i="42"/>
  <c r="L1124" i="42"/>
  <c r="O1124" i="42"/>
  <c r="L1125" i="42"/>
  <c r="O1125" i="42"/>
  <c r="L1126" i="42"/>
  <c r="O1126" i="42"/>
  <c r="L1127" i="42"/>
  <c r="O1127" i="42"/>
  <c r="L1128" i="42"/>
  <c r="O1128" i="42"/>
  <c r="L1129" i="42"/>
  <c r="O1129" i="42"/>
  <c r="L1130" i="42"/>
  <c r="O1130" i="42"/>
  <c r="L1131" i="42"/>
  <c r="O1131" i="42"/>
  <c r="L1132" i="42"/>
  <c r="O1132" i="42"/>
  <c r="L1133" i="42"/>
  <c r="O1133" i="42"/>
  <c r="L1134" i="42"/>
  <c r="O1134" i="42"/>
  <c r="L1135" i="42"/>
  <c r="O1135" i="42"/>
  <c r="L1136" i="42"/>
  <c r="O1136" i="42"/>
  <c r="L1137" i="42"/>
  <c r="O1137" i="42"/>
  <c r="L1138" i="42"/>
  <c r="O1138" i="42"/>
  <c r="L1139" i="42"/>
  <c r="O1139" i="42"/>
  <c r="L1140" i="42"/>
  <c r="O1140" i="42"/>
  <c r="L1141" i="42"/>
  <c r="O1141" i="42"/>
  <c r="L1142" i="42"/>
  <c r="O1142" i="42"/>
  <c r="L1143" i="42"/>
  <c r="O1143" i="42"/>
  <c r="L1144" i="42"/>
  <c r="O1144" i="42"/>
  <c r="L1145" i="42"/>
  <c r="O1145" i="42"/>
  <c r="L1146" i="42"/>
  <c r="O1146" i="42"/>
  <c r="L1147" i="42"/>
  <c r="O1147" i="42"/>
  <c r="L1148" i="42"/>
  <c r="O1148" i="42"/>
  <c r="L1149" i="42"/>
  <c r="O1149" i="42"/>
  <c r="L1150" i="42"/>
  <c r="O1150" i="42"/>
  <c r="L1151" i="42"/>
  <c r="O1151" i="42"/>
  <c r="L1152" i="42"/>
  <c r="O1152" i="42"/>
  <c r="L1153" i="42"/>
  <c r="O1153" i="42"/>
  <c r="L1154" i="42"/>
  <c r="O1154" i="42"/>
  <c r="L1155" i="42"/>
  <c r="O1155" i="42"/>
  <c r="L1156" i="42"/>
  <c r="O1156" i="42"/>
  <c r="G1306" i="42"/>
  <c r="G1307" i="42"/>
  <c r="G1308" i="42"/>
  <c r="G1309" i="42"/>
  <c r="G1310" i="42"/>
  <c r="G1311" i="42"/>
  <c r="G1312" i="42"/>
  <c r="G1313" i="42"/>
  <c r="G1314" i="42"/>
  <c r="G1315" i="42"/>
  <c r="G1316" i="42"/>
  <c r="G1318" i="42"/>
  <c r="G1319" i="42"/>
  <c r="G1320" i="42"/>
  <c r="G1321" i="42"/>
  <c r="G1322" i="42"/>
  <c r="G1323" i="42"/>
  <c r="J7" i="41"/>
  <c r="N7" i="41" s="1"/>
  <c r="O7" i="41"/>
  <c r="J8" i="41"/>
  <c r="O8" i="41"/>
  <c r="J9" i="41"/>
  <c r="N9" i="41" s="1"/>
  <c r="O9" i="41"/>
  <c r="J10" i="41"/>
  <c r="L10" i="41" s="1"/>
  <c r="O10" i="41"/>
  <c r="J11" i="41"/>
  <c r="L11" i="41" s="1"/>
  <c r="O11" i="41"/>
  <c r="J12" i="41"/>
  <c r="L12" i="41" s="1"/>
  <c r="O12" i="41"/>
  <c r="J13" i="41"/>
  <c r="N13" i="41" s="1"/>
  <c r="O13" i="41"/>
  <c r="J14" i="41"/>
  <c r="O14" i="41"/>
  <c r="J15" i="41"/>
  <c r="O15" i="41"/>
  <c r="J16" i="41"/>
  <c r="O16" i="41"/>
  <c r="J17" i="41"/>
  <c r="N17" i="41" s="1"/>
  <c r="O17" i="41"/>
  <c r="J18" i="41"/>
  <c r="L18" i="41" s="1"/>
  <c r="O18" i="41"/>
  <c r="J19" i="41"/>
  <c r="L19" i="41" s="1"/>
  <c r="O19" i="41"/>
  <c r="J20" i="41"/>
  <c r="L20" i="41" s="1"/>
  <c r="O20" i="41"/>
  <c r="J21" i="41"/>
  <c r="L21" i="41" s="1"/>
  <c r="O21" i="41"/>
  <c r="J22" i="41"/>
  <c r="O22" i="41"/>
  <c r="J23" i="41"/>
  <c r="O23" i="41"/>
  <c r="J24" i="41"/>
  <c r="O24" i="41"/>
  <c r="J25" i="41"/>
  <c r="L25" i="41" s="1"/>
  <c r="O25" i="41"/>
  <c r="J26" i="41"/>
  <c r="L26" i="41" s="1"/>
  <c r="O26" i="41"/>
  <c r="J27" i="41"/>
  <c r="L27" i="41" s="1"/>
  <c r="O27" i="41"/>
  <c r="J28" i="41"/>
  <c r="L28" i="41" s="1"/>
  <c r="O28" i="41"/>
  <c r="J29" i="41"/>
  <c r="L29" i="41" s="1"/>
  <c r="O29" i="41"/>
  <c r="J30" i="41"/>
  <c r="O30" i="41"/>
  <c r="J31" i="41"/>
  <c r="O31" i="41"/>
  <c r="J32" i="41"/>
  <c r="O32" i="41"/>
  <c r="J33" i="41"/>
  <c r="L33" i="41" s="1"/>
  <c r="O33" i="41"/>
  <c r="J34" i="41"/>
  <c r="N34" i="41" s="1"/>
  <c r="L34" i="41"/>
  <c r="O34" i="41"/>
  <c r="J35" i="41"/>
  <c r="N35" i="41" s="1"/>
  <c r="O35" i="41"/>
  <c r="J36" i="41"/>
  <c r="N36" i="41" s="1"/>
  <c r="O36" i="41"/>
  <c r="J37" i="41"/>
  <c r="O37" i="41"/>
  <c r="J38" i="41"/>
  <c r="O38" i="41"/>
  <c r="J39" i="41"/>
  <c r="O39" i="41"/>
  <c r="J40" i="41"/>
  <c r="O40" i="41"/>
  <c r="J41" i="41"/>
  <c r="N41" i="41" s="1"/>
  <c r="O41" i="41"/>
  <c r="J42" i="41"/>
  <c r="L42" i="41" s="1"/>
  <c r="O42" i="41"/>
  <c r="J43" i="41"/>
  <c r="L43" i="41" s="1"/>
  <c r="O43" i="41"/>
  <c r="J44" i="41"/>
  <c r="L44" i="41" s="1"/>
  <c r="O44" i="41"/>
  <c r="J45" i="41"/>
  <c r="L45" i="41" s="1"/>
  <c r="O45" i="41"/>
  <c r="J46" i="41"/>
  <c r="O46" i="41"/>
  <c r="L47" i="41"/>
  <c r="N47" i="41"/>
  <c r="O47" i="41"/>
  <c r="J48" i="41"/>
  <c r="N48" i="41" s="1"/>
  <c r="O48" i="41"/>
  <c r="J49" i="41"/>
  <c r="N49" i="41" s="1"/>
  <c r="O49" i="41"/>
  <c r="J50" i="41"/>
  <c r="N50" i="41" s="1"/>
  <c r="O50" i="41"/>
  <c r="J51" i="41"/>
  <c r="N51" i="41" s="1"/>
  <c r="O51" i="41"/>
  <c r="J52" i="41"/>
  <c r="N52" i="41" s="1"/>
  <c r="O52" i="41"/>
  <c r="L53" i="41"/>
  <c r="N53" i="41"/>
  <c r="O53" i="41"/>
  <c r="L54" i="41"/>
  <c r="N54" i="41"/>
  <c r="O54" i="41"/>
  <c r="L55" i="41"/>
  <c r="N55" i="41"/>
  <c r="O55" i="41"/>
  <c r="L56" i="41"/>
  <c r="N56" i="41"/>
  <c r="O56" i="41"/>
  <c r="L57" i="41"/>
  <c r="N57" i="41"/>
  <c r="O57" i="41"/>
  <c r="L58" i="41"/>
  <c r="N58" i="41"/>
  <c r="O58" i="41"/>
  <c r="L59" i="41"/>
  <c r="N59" i="41"/>
  <c r="O59" i="41"/>
  <c r="L60" i="41"/>
  <c r="N60" i="41"/>
  <c r="O60" i="41"/>
  <c r="J61" i="41"/>
  <c r="N61" i="41" s="1"/>
  <c r="O61" i="41"/>
  <c r="J62" i="41"/>
  <c r="N62" i="41" s="1"/>
  <c r="O62" i="41"/>
  <c r="J63" i="41"/>
  <c r="N63" i="41" s="1"/>
  <c r="O63" i="41"/>
  <c r="J64" i="41"/>
  <c r="N64" i="41" s="1"/>
  <c r="O64" i="41"/>
  <c r="J65" i="41"/>
  <c r="N65" i="41" s="1"/>
  <c r="O65" i="41"/>
  <c r="J66" i="41"/>
  <c r="N66" i="41" s="1"/>
  <c r="O66" i="41"/>
  <c r="J67" i="41"/>
  <c r="N67" i="41" s="1"/>
  <c r="O67" i="41"/>
  <c r="J68" i="41"/>
  <c r="N68" i="41" s="1"/>
  <c r="O68" i="41"/>
  <c r="J69" i="41"/>
  <c r="N69" i="41" s="1"/>
  <c r="O69" i="41"/>
  <c r="J70" i="41"/>
  <c r="N70" i="41" s="1"/>
  <c r="O70" i="41"/>
  <c r="J71" i="41"/>
  <c r="N71" i="41" s="1"/>
  <c r="O71" i="41"/>
  <c r="J72" i="41"/>
  <c r="N72" i="41" s="1"/>
  <c r="O72" i="41"/>
  <c r="J73" i="41"/>
  <c r="N73" i="41" s="1"/>
  <c r="O73" i="41"/>
  <c r="J74" i="41"/>
  <c r="N74" i="41" s="1"/>
  <c r="O74" i="41"/>
  <c r="J75" i="41"/>
  <c r="N75" i="41" s="1"/>
  <c r="O75" i="41"/>
  <c r="J76" i="41"/>
  <c r="N76" i="41" s="1"/>
  <c r="O76" i="41"/>
  <c r="J77" i="41"/>
  <c r="N77" i="41" s="1"/>
  <c r="O77" i="41"/>
  <c r="J78" i="41"/>
  <c r="N78" i="41" s="1"/>
  <c r="O78" i="41"/>
  <c r="J79" i="41"/>
  <c r="N79" i="41" s="1"/>
  <c r="O79" i="41"/>
  <c r="J80" i="41"/>
  <c r="N80" i="41" s="1"/>
  <c r="O80" i="41"/>
  <c r="J81" i="41"/>
  <c r="N81" i="41" s="1"/>
  <c r="O81" i="41"/>
  <c r="J82" i="41"/>
  <c r="N82" i="41" s="1"/>
  <c r="O82" i="41"/>
  <c r="J83" i="41"/>
  <c r="N83" i="41" s="1"/>
  <c r="O83" i="41"/>
  <c r="J84" i="41"/>
  <c r="N84" i="41" s="1"/>
  <c r="O84" i="41"/>
  <c r="J85" i="41"/>
  <c r="N85" i="41" s="1"/>
  <c r="O85" i="41"/>
  <c r="J86" i="41"/>
  <c r="N86" i="41" s="1"/>
  <c r="O86" i="41"/>
  <c r="J87" i="41"/>
  <c r="N87" i="41" s="1"/>
  <c r="O87" i="41"/>
  <c r="J88" i="41"/>
  <c r="N88" i="41" s="1"/>
  <c r="O88" i="41"/>
  <c r="J89" i="41"/>
  <c r="N89" i="41" s="1"/>
  <c r="O89" i="41"/>
  <c r="J90" i="41"/>
  <c r="N90" i="41" s="1"/>
  <c r="O90" i="41"/>
  <c r="J91" i="41"/>
  <c r="N91" i="41" s="1"/>
  <c r="O91" i="41"/>
  <c r="J92" i="41"/>
  <c r="N92" i="41" s="1"/>
  <c r="O92" i="41"/>
  <c r="J93" i="41"/>
  <c r="N93" i="41" s="1"/>
  <c r="O93" i="41"/>
  <c r="J94" i="41"/>
  <c r="N94" i="41" s="1"/>
  <c r="O94" i="41"/>
  <c r="J95" i="41"/>
  <c r="N95" i="41" s="1"/>
  <c r="O95" i="41"/>
  <c r="J96" i="41"/>
  <c r="N96" i="41" s="1"/>
  <c r="O96" i="41"/>
  <c r="J97" i="41"/>
  <c r="N97" i="41" s="1"/>
  <c r="O97" i="41"/>
  <c r="J98" i="41"/>
  <c r="N98" i="41" s="1"/>
  <c r="O98" i="41"/>
  <c r="J99" i="41"/>
  <c r="N99" i="41" s="1"/>
  <c r="O99" i="41"/>
  <c r="J100" i="41"/>
  <c r="N100" i="41" s="1"/>
  <c r="O100" i="41"/>
  <c r="J101" i="41"/>
  <c r="N101" i="41" s="1"/>
  <c r="O101" i="41"/>
  <c r="J102" i="41"/>
  <c r="N102" i="41" s="1"/>
  <c r="O102" i="41"/>
  <c r="J103" i="41"/>
  <c r="N103" i="41" s="1"/>
  <c r="O103" i="41"/>
  <c r="J104" i="41"/>
  <c r="N104" i="41" s="1"/>
  <c r="O104" i="41"/>
  <c r="J105" i="41"/>
  <c r="N105" i="41" s="1"/>
  <c r="O105" i="41"/>
  <c r="J106" i="41"/>
  <c r="N106" i="41" s="1"/>
  <c r="O106" i="41"/>
  <c r="J107" i="41"/>
  <c r="N107" i="41" s="1"/>
  <c r="O107" i="41"/>
  <c r="J108" i="41"/>
  <c r="N108" i="41" s="1"/>
  <c r="O108" i="41"/>
  <c r="J109" i="41"/>
  <c r="N109" i="41" s="1"/>
  <c r="O109" i="41"/>
  <c r="J110" i="41"/>
  <c r="N110" i="41" s="1"/>
  <c r="O110" i="41"/>
  <c r="J111" i="41"/>
  <c r="N111" i="41" s="1"/>
  <c r="O111" i="41"/>
  <c r="J112" i="41"/>
  <c r="N112" i="41" s="1"/>
  <c r="O112" i="41"/>
  <c r="J113" i="41"/>
  <c r="N113" i="41" s="1"/>
  <c r="O113" i="41"/>
  <c r="J114" i="41"/>
  <c r="N114" i="41" s="1"/>
  <c r="O114" i="41"/>
  <c r="J115" i="41"/>
  <c r="N115" i="41" s="1"/>
  <c r="O115" i="41"/>
  <c r="J116" i="41"/>
  <c r="N116" i="41" s="1"/>
  <c r="O116" i="41"/>
  <c r="P118" i="41"/>
  <c r="J7" i="39"/>
  <c r="L7" i="39" s="1"/>
  <c r="N7" i="39" s="1"/>
  <c r="O7" i="39"/>
  <c r="J8" i="39"/>
  <c r="L8" i="39" s="1"/>
  <c r="N8" i="39" s="1"/>
  <c r="O8" i="39"/>
  <c r="J9" i="39"/>
  <c r="O9" i="39"/>
  <c r="J10" i="39"/>
  <c r="L10" i="39" s="1"/>
  <c r="N10" i="39" s="1"/>
  <c r="O10" i="39"/>
  <c r="J11" i="39"/>
  <c r="L11" i="39" s="1"/>
  <c r="N11" i="39" s="1"/>
  <c r="O11" i="39"/>
  <c r="J12" i="39"/>
  <c r="L12" i="39" s="1"/>
  <c r="N12" i="39" s="1"/>
  <c r="O12" i="39"/>
  <c r="J13" i="39"/>
  <c r="O13" i="39"/>
  <c r="J14" i="39"/>
  <c r="O14" i="39"/>
  <c r="J15" i="39"/>
  <c r="O15" i="39"/>
  <c r="J16" i="39"/>
  <c r="O16" i="39"/>
  <c r="J17" i="39"/>
  <c r="O17" i="39"/>
  <c r="J18" i="39"/>
  <c r="O18" i="39"/>
  <c r="L19" i="39"/>
  <c r="N19" i="39"/>
  <c r="O19" i="39"/>
  <c r="L20" i="39"/>
  <c r="N20" i="39"/>
  <c r="O20" i="39"/>
  <c r="L21" i="39"/>
  <c r="N21" i="39"/>
  <c r="O21" i="39"/>
  <c r="L22" i="39"/>
  <c r="N22" i="39"/>
  <c r="O22" i="39"/>
  <c r="L23" i="39"/>
  <c r="N23" i="39"/>
  <c r="O23" i="39"/>
  <c r="L24" i="39"/>
  <c r="N24" i="39"/>
  <c r="O24" i="39"/>
  <c r="L25" i="39"/>
  <c r="N25" i="39"/>
  <c r="O25" i="39"/>
  <c r="L26" i="39"/>
  <c r="N26" i="39"/>
  <c r="O26" i="39"/>
  <c r="L27" i="39"/>
  <c r="N27" i="39"/>
  <c r="O27" i="39"/>
  <c r="L28" i="39"/>
  <c r="N28" i="39"/>
  <c r="O28" i="39"/>
  <c r="L29" i="39"/>
  <c r="N29" i="39"/>
  <c r="O29" i="39"/>
  <c r="L30" i="39"/>
  <c r="N30" i="39"/>
  <c r="O30" i="39"/>
  <c r="L31" i="39"/>
  <c r="N31" i="39"/>
  <c r="O31" i="39"/>
  <c r="J32" i="39"/>
  <c r="L32" i="39" s="1"/>
  <c r="O32" i="39"/>
  <c r="J33" i="39"/>
  <c r="L33" i="39" s="1"/>
  <c r="O33" i="39"/>
  <c r="J34" i="39"/>
  <c r="N34" i="39" s="1"/>
  <c r="O34" i="39"/>
  <c r="J35" i="39"/>
  <c r="L35" i="39" s="1"/>
  <c r="O35" i="39"/>
  <c r="L36" i="39"/>
  <c r="N36" i="39"/>
  <c r="O36" i="39"/>
  <c r="J37" i="39"/>
  <c r="N37" i="39" s="1"/>
  <c r="O37" i="39"/>
  <c r="J38" i="39"/>
  <c r="N38" i="39" s="1"/>
  <c r="O38" i="39"/>
  <c r="J39" i="39"/>
  <c r="N39" i="39" s="1"/>
  <c r="O39" i="39"/>
  <c r="L7" i="40"/>
  <c r="N7" i="40"/>
  <c r="O7" i="40"/>
  <c r="L8" i="40"/>
  <c r="N8" i="40"/>
  <c r="O8" i="40"/>
  <c r="L9" i="40"/>
  <c r="N9" i="40"/>
  <c r="O9" i="40"/>
  <c r="L10" i="40"/>
  <c r="N10" i="40"/>
  <c r="O10" i="40"/>
  <c r="L11" i="40"/>
  <c r="N11" i="40"/>
  <c r="O11" i="40"/>
  <c r="L12" i="40"/>
  <c r="N12" i="40"/>
  <c r="O12" i="40"/>
  <c r="L13" i="40"/>
  <c r="N13" i="40"/>
  <c r="O13" i="40"/>
  <c r="L14" i="40"/>
  <c r="N14" i="40"/>
  <c r="O14" i="40"/>
  <c r="L15" i="40"/>
  <c r="N15" i="40"/>
  <c r="O15" i="40"/>
  <c r="L16" i="40"/>
  <c r="N16" i="40"/>
  <c r="O16" i="40"/>
  <c r="L17" i="40"/>
  <c r="N17" i="40"/>
  <c r="O17" i="40"/>
  <c r="L18" i="40"/>
  <c r="N18" i="40"/>
  <c r="O18" i="40"/>
  <c r="L19" i="40"/>
  <c r="N19" i="40"/>
  <c r="O19" i="40"/>
  <c r="L20" i="40"/>
  <c r="N20" i="40"/>
  <c r="O20" i="40"/>
  <c r="L21" i="40"/>
  <c r="I49" i="40" s="1"/>
  <c r="N21" i="40"/>
  <c r="O21" i="40"/>
  <c r="L22" i="40"/>
  <c r="I52" i="40" s="1"/>
  <c r="N22" i="40"/>
  <c r="O22" i="40"/>
  <c r="J23" i="40"/>
  <c r="L23" i="40" s="1"/>
  <c r="O23" i="40"/>
  <c r="L24" i="40"/>
  <c r="I56" i="40" s="1"/>
  <c r="N24" i="40"/>
  <c r="O24" i="40"/>
  <c r="L25" i="40"/>
  <c r="I58" i="40" s="1"/>
  <c r="N25" i="40"/>
  <c r="O25" i="40"/>
  <c r="L26" i="40"/>
  <c r="N26" i="40"/>
  <c r="O26" i="40"/>
  <c r="J27" i="40"/>
  <c r="L27" i="40" s="1"/>
  <c r="O27" i="40"/>
  <c r="J28" i="40"/>
  <c r="N28" i="40" s="1"/>
  <c r="O28" i="40"/>
  <c r="J29" i="40"/>
  <c r="L29" i="40" s="1"/>
  <c r="O29" i="40"/>
  <c r="J30" i="40"/>
  <c r="L30" i="40" s="1"/>
  <c r="O30" i="40"/>
  <c r="J31" i="40"/>
  <c r="L31" i="40" s="1"/>
  <c r="O31" i="40"/>
  <c r="J32" i="40"/>
  <c r="L32" i="40" s="1"/>
  <c r="O32" i="40"/>
  <c r="L33" i="40"/>
  <c r="N33" i="40"/>
  <c r="O33" i="40"/>
  <c r="L34" i="40"/>
  <c r="N34" i="40"/>
  <c r="O34" i="40"/>
  <c r="L35" i="40"/>
  <c r="N35" i="40"/>
  <c r="O35" i="40"/>
  <c r="L36" i="40"/>
  <c r="I62" i="40" s="1"/>
  <c r="N36" i="40"/>
  <c r="O36" i="40"/>
  <c r="L37" i="40"/>
  <c r="O37" i="40"/>
  <c r="L38" i="40"/>
  <c r="N37" i="40" s="1"/>
  <c r="O38" i="40"/>
  <c r="H44" i="40"/>
  <c r="H45" i="40"/>
  <c r="H48" i="40"/>
  <c r="H49" i="40"/>
  <c r="H52" i="40"/>
  <c r="H56" i="40"/>
  <c r="H58" i="40"/>
  <c r="H62" i="40"/>
  <c r="H65" i="40"/>
  <c r="L8" i="38"/>
  <c r="N8" i="38"/>
  <c r="O8" i="38"/>
  <c r="L9" i="38"/>
  <c r="N9" i="38"/>
  <c r="O9" i="38"/>
  <c r="P9" i="38" s="1"/>
  <c r="L10" i="38"/>
  <c r="N10" i="38"/>
  <c r="O10" i="38"/>
  <c r="P10" i="38" s="1"/>
  <c r="J11" i="38"/>
  <c r="O11" i="38"/>
  <c r="J12" i="38"/>
  <c r="L12" i="38" s="1"/>
  <c r="O12" i="38"/>
  <c r="J13" i="38"/>
  <c r="L13" i="38" s="1"/>
  <c r="O13" i="38"/>
  <c r="J14" i="38"/>
  <c r="N14" i="38" s="1"/>
  <c r="O14" i="38"/>
  <c r="P14" i="38" s="1"/>
  <c r="L15" i="38"/>
  <c r="N15" i="38"/>
  <c r="O15" i="38"/>
  <c r="P15" i="38" s="1"/>
  <c r="L16" i="38"/>
  <c r="N16" i="38"/>
  <c r="O16" i="38"/>
  <c r="P16" i="38" s="1"/>
  <c r="J17" i="38"/>
  <c r="O17" i="38"/>
  <c r="J18" i="38"/>
  <c r="N18" i="38" s="1"/>
  <c r="O18" i="38"/>
  <c r="L19" i="38"/>
  <c r="N19" i="38"/>
  <c r="O19" i="38"/>
  <c r="P19" i="38" s="1"/>
  <c r="L20" i="38"/>
  <c r="N20" i="38"/>
  <c r="O20" i="38"/>
  <c r="L21" i="38"/>
  <c r="N21" i="38"/>
  <c r="O21" i="38"/>
  <c r="P21" i="38" s="1"/>
  <c r="J22" i="38"/>
  <c r="O22" i="38"/>
  <c r="J23" i="38"/>
  <c r="O23" i="38"/>
  <c r="J24" i="38"/>
  <c r="L24" i="38" s="1"/>
  <c r="O24" i="38"/>
  <c r="J25" i="38"/>
  <c r="N25" i="38" s="1"/>
  <c r="O25" i="38"/>
  <c r="P25" i="38" s="1"/>
  <c r="J26" i="38"/>
  <c r="O26" i="38"/>
  <c r="L27" i="38"/>
  <c r="N27" i="38"/>
  <c r="O27" i="38"/>
  <c r="P27" i="38" s="1"/>
  <c r="J28" i="38"/>
  <c r="O28" i="38"/>
  <c r="J29" i="38"/>
  <c r="L29" i="38" s="1"/>
  <c r="O29" i="38"/>
  <c r="L30" i="38"/>
  <c r="N30" i="38"/>
  <c r="O30" i="38"/>
  <c r="P30" i="38" s="1"/>
  <c r="L31" i="38"/>
  <c r="N31" i="38"/>
  <c r="O31" i="38"/>
  <c r="P31" i="38" s="1"/>
  <c r="L32" i="38"/>
  <c r="N32" i="38"/>
  <c r="O32" i="38"/>
  <c r="L33" i="38"/>
  <c r="N33" i="38"/>
  <c r="O33" i="38"/>
  <c r="L34" i="38"/>
  <c r="N34" i="38"/>
  <c r="O34" i="38"/>
  <c r="P34" i="38" s="1"/>
  <c r="L35" i="38"/>
  <c r="N35" i="38"/>
  <c r="O35" i="38"/>
  <c r="P35" i="38" s="1"/>
  <c r="L36" i="38"/>
  <c r="N36" i="38"/>
  <c r="O36" i="38"/>
  <c r="P36" i="38" s="1"/>
  <c r="L37" i="38"/>
  <c r="N37" i="38"/>
  <c r="O37" i="38"/>
  <c r="P37" i="38" s="1"/>
  <c r="L38" i="38"/>
  <c r="N38" i="38"/>
  <c r="O38" i="38"/>
  <c r="P38" i="38" s="1"/>
  <c r="L39" i="38"/>
  <c r="N39" i="38"/>
  <c r="O39" i="38"/>
  <c r="P39" i="38" s="1"/>
  <c r="L40" i="38"/>
  <c r="N40" i="38"/>
  <c r="O40" i="38"/>
  <c r="P40" i="38" s="1"/>
  <c r="L41" i="38"/>
  <c r="N41" i="38"/>
  <c r="O41" i="38"/>
  <c r="P41" i="38" s="1"/>
  <c r="L42" i="38"/>
  <c r="N42" i="38"/>
  <c r="O42" i="38"/>
  <c r="P42" i="38" s="1"/>
  <c r="L43" i="38"/>
  <c r="N43" i="38"/>
  <c r="O43" i="38"/>
  <c r="P43" i="38" s="1"/>
  <c r="L44" i="38"/>
  <c r="N44" i="38"/>
  <c r="O44" i="38"/>
  <c r="P44" i="38" s="1"/>
  <c r="L45" i="38"/>
  <c r="N45" i="38"/>
  <c r="O45" i="38"/>
  <c r="P45" i="38" s="1"/>
  <c r="L46" i="38"/>
  <c r="N46" i="38"/>
  <c r="O46" i="38"/>
  <c r="P46" i="38" s="1"/>
  <c r="L47" i="38"/>
  <c r="N47" i="38"/>
  <c r="O47" i="38"/>
  <c r="L48" i="38"/>
  <c r="N48" i="38"/>
  <c r="O48" i="38"/>
  <c r="P48" i="38" s="1"/>
  <c r="J49" i="38"/>
  <c r="N49" i="38" s="1"/>
  <c r="O49" i="38"/>
  <c r="P49" i="38" s="1"/>
  <c r="J50" i="38"/>
  <c r="L50" i="38" s="1"/>
  <c r="O50" i="38"/>
  <c r="J51" i="38"/>
  <c r="O51" i="38"/>
  <c r="J52" i="38"/>
  <c r="O52" i="38"/>
  <c r="J53" i="38"/>
  <c r="N53" i="38" s="1"/>
  <c r="O53" i="38"/>
  <c r="P53" i="38" s="1"/>
  <c r="J54" i="38"/>
  <c r="L54" i="38" s="1"/>
  <c r="O54" i="38"/>
  <c r="J55" i="38"/>
  <c r="O55" i="38"/>
  <c r="J56" i="38"/>
  <c r="O56" i="38"/>
  <c r="J57" i="38"/>
  <c r="N57" i="38" s="1"/>
  <c r="O57" i="38"/>
  <c r="P57" i="38" s="1"/>
  <c r="J58" i="38"/>
  <c r="L58" i="38" s="1"/>
  <c r="O58" i="38"/>
  <c r="J59" i="38"/>
  <c r="O59" i="38"/>
  <c r="J60" i="38"/>
  <c r="L60" i="38" s="1"/>
  <c r="O60" i="38"/>
  <c r="J61" i="38"/>
  <c r="O61" i="38"/>
  <c r="J62" i="38"/>
  <c r="L62" i="38" s="1"/>
  <c r="O62" i="38"/>
  <c r="J63" i="38"/>
  <c r="O63" i="38"/>
  <c r="L64" i="38"/>
  <c r="N64" i="38"/>
  <c r="O64" i="38"/>
  <c r="P64" i="38" s="1"/>
  <c r="L65" i="38"/>
  <c r="N65" i="38"/>
  <c r="O65" i="38"/>
  <c r="P65" i="38" s="1"/>
  <c r="L66" i="38"/>
  <c r="N66" i="38"/>
  <c r="O66" i="38"/>
  <c r="P66" i="38" s="1"/>
  <c r="L67" i="38"/>
  <c r="N67" i="38"/>
  <c r="O67" i="38"/>
  <c r="P67" i="38" s="1"/>
  <c r="L68" i="38"/>
  <c r="N68" i="38"/>
  <c r="O68" i="38"/>
  <c r="P68" i="38" s="1"/>
  <c r="L69" i="38"/>
  <c r="N69" i="38"/>
  <c r="O69" i="38"/>
  <c r="P69" i="38" s="1"/>
  <c r="L70" i="38"/>
  <c r="N70" i="38"/>
  <c r="O70" i="38"/>
  <c r="P70" i="38" s="1"/>
  <c r="L71" i="38"/>
  <c r="N71" i="38"/>
  <c r="O71" i="38"/>
  <c r="P71" i="38" s="1"/>
  <c r="L72" i="38"/>
  <c r="N72" i="38"/>
  <c r="O72" i="38"/>
  <c r="L73" i="38"/>
  <c r="N73" i="38"/>
  <c r="O73" i="38"/>
  <c r="P73" i="38" s="1"/>
  <c r="L74" i="38"/>
  <c r="N74" i="38"/>
  <c r="O74" i="38"/>
  <c r="L75" i="38"/>
  <c r="N75" i="38"/>
  <c r="O75" i="38"/>
  <c r="P75" i="38" s="1"/>
  <c r="L76" i="38"/>
  <c r="N76" i="38"/>
  <c r="O76" i="38"/>
  <c r="P76" i="38" s="1"/>
  <c r="L77" i="38"/>
  <c r="N77" i="38"/>
  <c r="O77" i="38"/>
  <c r="L78" i="38"/>
  <c r="N78" i="38"/>
  <c r="O78" i="38"/>
  <c r="L79" i="38"/>
  <c r="N79" i="38"/>
  <c r="O79" i="38"/>
  <c r="P79" i="38" s="1"/>
  <c r="L80" i="38"/>
  <c r="N80" i="38"/>
  <c r="O80" i="38"/>
  <c r="P80" i="38" s="1"/>
  <c r="L81" i="38"/>
  <c r="N81" i="38"/>
  <c r="O81" i="38"/>
  <c r="P81" i="38" s="1"/>
  <c r="L82" i="38"/>
  <c r="N82" i="38"/>
  <c r="O82" i="38"/>
  <c r="P82" i="38" s="1"/>
  <c r="L83" i="38"/>
  <c r="N83" i="38"/>
  <c r="O83" i="38"/>
  <c r="P83" i="38" s="1"/>
  <c r="L84" i="38"/>
  <c r="N84" i="38"/>
  <c r="O84" i="38"/>
  <c r="L85" i="38"/>
  <c r="N85" i="38"/>
  <c r="O85" i="38"/>
  <c r="P85" i="38" s="1"/>
  <c r="L86" i="38"/>
  <c r="N86" i="38"/>
  <c r="O86" i="38"/>
  <c r="P86" i="38" s="1"/>
  <c r="L87" i="38"/>
  <c r="N87" i="38"/>
  <c r="O87" i="38"/>
  <c r="P87" i="38" s="1"/>
  <c r="L88" i="38"/>
  <c r="N88" i="38"/>
  <c r="O88" i="38"/>
  <c r="P88" i="38" s="1"/>
  <c r="L89" i="38"/>
  <c r="N89" i="38"/>
  <c r="O89" i="38"/>
  <c r="P89" i="38" s="1"/>
  <c r="L90" i="38"/>
  <c r="N90" i="38"/>
  <c r="O90" i="38"/>
  <c r="P90" i="38" s="1"/>
  <c r="L91" i="38"/>
  <c r="N91" i="38"/>
  <c r="O91" i="38"/>
  <c r="P91" i="38" s="1"/>
  <c r="L92" i="38"/>
  <c r="N92" i="38"/>
  <c r="O92" i="38"/>
  <c r="L93" i="38"/>
  <c r="N93" i="38"/>
  <c r="O93" i="38"/>
  <c r="P93" i="38" s="1"/>
  <c r="L94" i="38"/>
  <c r="N94" i="38"/>
  <c r="O94" i="38"/>
  <c r="L95" i="38"/>
  <c r="N95" i="38"/>
  <c r="O95" i="38"/>
  <c r="P95" i="38" s="1"/>
  <c r="L96" i="38"/>
  <c r="N96" i="38"/>
  <c r="O96" i="38"/>
  <c r="P96" i="38" s="1"/>
  <c r="L97" i="38"/>
  <c r="N97" i="38"/>
  <c r="O97" i="38"/>
  <c r="L98" i="38"/>
  <c r="N98" i="38"/>
  <c r="O98" i="38"/>
  <c r="L99" i="38"/>
  <c r="N99" i="38"/>
  <c r="O99" i="38"/>
  <c r="P99" i="38" s="1"/>
  <c r="L100" i="38"/>
  <c r="N100" i="38"/>
  <c r="O100" i="38"/>
  <c r="P100" i="38" s="1"/>
  <c r="L101" i="38"/>
  <c r="N101" i="38"/>
  <c r="O101" i="38"/>
  <c r="P101" i="38" s="1"/>
  <c r="L102" i="38"/>
  <c r="N102" i="38"/>
  <c r="O102" i="38"/>
  <c r="P102" i="38" s="1"/>
  <c r="L103" i="38"/>
  <c r="N103" i="38"/>
  <c r="O103" i="38"/>
  <c r="P103" i="38" s="1"/>
  <c r="L104" i="38"/>
  <c r="N104" i="38"/>
  <c r="O104" i="38"/>
  <c r="L105" i="38"/>
  <c r="N105" i="38"/>
  <c r="O105" i="38"/>
  <c r="P105" i="38" s="1"/>
  <c r="L106" i="38"/>
  <c r="N106" i="38"/>
  <c r="O106" i="38"/>
  <c r="P106" i="38" s="1"/>
  <c r="L107" i="38"/>
  <c r="N107" i="38"/>
  <c r="O107" i="38"/>
  <c r="P107" i="38" s="1"/>
  <c r="L108" i="38"/>
  <c r="N108" i="38"/>
  <c r="O108" i="38"/>
  <c r="P108" i="38" s="1"/>
  <c r="L109" i="38"/>
  <c r="N109" i="38"/>
  <c r="O109" i="38"/>
  <c r="P109" i="38" s="1"/>
  <c r="L110" i="38"/>
  <c r="N110" i="38"/>
  <c r="O110" i="38"/>
  <c r="P110" i="38" s="1"/>
  <c r="L111" i="38"/>
  <c r="N111" i="38"/>
  <c r="O111" i="38"/>
  <c r="P111" i="38" s="1"/>
  <c r="L112" i="38"/>
  <c r="N112" i="38"/>
  <c r="O112" i="38"/>
  <c r="L113" i="38"/>
  <c r="N113" i="38"/>
  <c r="O113" i="38"/>
  <c r="P113" i="38" s="1"/>
  <c r="L114" i="38"/>
  <c r="N114" i="38"/>
  <c r="O114" i="38"/>
  <c r="L115" i="38"/>
  <c r="N115" i="38"/>
  <c r="O115" i="38"/>
  <c r="P115" i="38" s="1"/>
  <c r="L116" i="38"/>
  <c r="N116" i="38"/>
  <c r="O116" i="38"/>
  <c r="P116" i="38" s="1"/>
  <c r="L117" i="38"/>
  <c r="N117" i="38"/>
  <c r="O117" i="38"/>
  <c r="L118" i="38"/>
  <c r="N118" i="38"/>
  <c r="O118" i="38"/>
  <c r="P118" i="38" s="1"/>
  <c r="L119" i="38"/>
  <c r="N119" i="38"/>
  <c r="O119" i="38"/>
  <c r="P119" i="38" s="1"/>
  <c r="L120" i="38"/>
  <c r="N120" i="38"/>
  <c r="O120" i="38"/>
  <c r="P120" i="38" s="1"/>
  <c r="L121" i="38"/>
  <c r="N121" i="38"/>
  <c r="O121" i="38"/>
  <c r="P121" i="38" s="1"/>
  <c r="L122" i="38"/>
  <c r="N122" i="38"/>
  <c r="O122" i="38"/>
  <c r="P122" i="38" s="1"/>
  <c r="L123" i="38"/>
  <c r="N123" i="38"/>
  <c r="O123" i="38"/>
  <c r="P123" i="38" s="1"/>
  <c r="L124" i="38"/>
  <c r="N124" i="38"/>
  <c r="O124" i="38"/>
  <c r="P124" i="38" s="1"/>
  <c r="L125" i="38"/>
  <c r="N125" i="38"/>
  <c r="O125" i="38"/>
  <c r="P125" i="38" s="1"/>
  <c r="L126" i="38"/>
  <c r="N126" i="38"/>
  <c r="O126" i="38"/>
  <c r="P126" i="38" s="1"/>
  <c r="L127" i="38"/>
  <c r="N127" i="38"/>
  <c r="O127" i="38"/>
  <c r="P127" i="38" s="1"/>
  <c r="L128" i="38"/>
  <c r="N128" i="38"/>
  <c r="O128" i="38"/>
  <c r="P128" i="38" s="1"/>
  <c r="L129" i="38"/>
  <c r="N129" i="38"/>
  <c r="O129" i="38"/>
  <c r="P129" i="38" s="1"/>
  <c r="L130" i="38"/>
  <c r="N130" i="38"/>
  <c r="O130" i="38"/>
  <c r="P130" i="38" s="1"/>
  <c r="L131" i="38"/>
  <c r="N131" i="38"/>
  <c r="O131" i="38"/>
  <c r="P131" i="38" s="1"/>
  <c r="L132" i="38"/>
  <c r="N132" i="38"/>
  <c r="O132" i="38"/>
  <c r="L133" i="38"/>
  <c r="N133" i="38"/>
  <c r="O133" i="38"/>
  <c r="P133" i="38" s="1"/>
  <c r="L134" i="38"/>
  <c r="N134" i="38"/>
  <c r="O134" i="38"/>
  <c r="L135" i="38"/>
  <c r="N135" i="38"/>
  <c r="O135" i="38"/>
  <c r="P135" i="38" s="1"/>
  <c r="L136" i="38"/>
  <c r="N136" i="38"/>
  <c r="O136" i="38"/>
  <c r="P136" i="38" s="1"/>
  <c r="L137" i="38"/>
  <c r="N137" i="38"/>
  <c r="O137" i="38"/>
  <c r="L138" i="38"/>
  <c r="N138" i="38"/>
  <c r="O138" i="38"/>
  <c r="P138" i="38" s="1"/>
  <c r="L139" i="38"/>
  <c r="N139" i="38"/>
  <c r="O139" i="38"/>
  <c r="P139" i="38" s="1"/>
  <c r="L140" i="38"/>
  <c r="N140" i="38"/>
  <c r="O140" i="38"/>
  <c r="P140" i="38" s="1"/>
  <c r="L141" i="38"/>
  <c r="N141" i="38"/>
  <c r="O141" i="38"/>
  <c r="P141" i="38" s="1"/>
  <c r="L142" i="38"/>
  <c r="N142" i="38"/>
  <c r="O142" i="38"/>
  <c r="P142" i="38" s="1"/>
  <c r="L143" i="38"/>
  <c r="N143" i="38"/>
  <c r="O143" i="38"/>
  <c r="P143" i="38" s="1"/>
  <c r="L144" i="38"/>
  <c r="N144" i="38"/>
  <c r="O144" i="38"/>
  <c r="L145" i="38"/>
  <c r="N145" i="38"/>
  <c r="O145" i="38"/>
  <c r="P145" i="38" s="1"/>
  <c r="J146" i="38"/>
  <c r="O146" i="38"/>
  <c r="J147" i="38"/>
  <c r="O147" i="38"/>
  <c r="J148" i="38"/>
  <c r="O148" i="38"/>
  <c r="J149" i="38"/>
  <c r="O149" i="38"/>
  <c r="J150" i="38"/>
  <c r="O150" i="38"/>
  <c r="J151" i="38"/>
  <c r="O151" i="38"/>
  <c r="J152" i="38"/>
  <c r="O152" i="38"/>
  <c r="L153" i="38"/>
  <c r="N153" i="38"/>
  <c r="O153" i="38"/>
  <c r="P153" i="38" s="1"/>
  <c r="L154" i="38"/>
  <c r="N154" i="38"/>
  <c r="O154" i="38"/>
  <c r="P154" i="38" s="1"/>
  <c r="L155" i="38"/>
  <c r="N155" i="38"/>
  <c r="O155" i="38"/>
  <c r="P155" i="38" s="1"/>
  <c r="L156" i="38"/>
  <c r="N156" i="38"/>
  <c r="O156" i="38"/>
  <c r="P156" i="38" s="1"/>
  <c r="L157" i="38"/>
  <c r="N157" i="38"/>
  <c r="O157" i="38"/>
  <c r="P157" i="38" s="1"/>
  <c r="L158" i="38"/>
  <c r="N158" i="38"/>
  <c r="O158" i="38"/>
  <c r="P158" i="38" s="1"/>
  <c r="L159" i="38"/>
  <c r="N159" i="38"/>
  <c r="O159" i="38"/>
  <c r="P159" i="38" s="1"/>
  <c r="J160" i="38"/>
  <c r="L160" i="38" s="1"/>
  <c r="O160" i="38"/>
  <c r="J161" i="38"/>
  <c r="N161" i="38" s="1"/>
  <c r="O161" i="38"/>
  <c r="P161" i="38" s="1"/>
  <c r="J162" i="38"/>
  <c r="N162" i="38" s="1"/>
  <c r="O162" i="38"/>
  <c r="L163" i="38"/>
  <c r="N163" i="38"/>
  <c r="O163" i="38"/>
  <c r="P163" i="38" s="1"/>
  <c r="J164" i="38"/>
  <c r="N164" i="38" s="1"/>
  <c r="O164" i="38"/>
  <c r="P164" i="38" s="1"/>
  <c r="J165" i="38"/>
  <c r="L165" i="38" s="1"/>
  <c r="O165" i="38"/>
  <c r="J166" i="38"/>
  <c r="N166" i="38" s="1"/>
  <c r="O166" i="38"/>
  <c r="P166" i="38" s="1"/>
  <c r="J167" i="38"/>
  <c r="O167" i="38"/>
  <c r="J168" i="38"/>
  <c r="N168" i="38" s="1"/>
  <c r="O168" i="38"/>
  <c r="P168" i="38" s="1"/>
  <c r="L169" i="38"/>
  <c r="N169" i="38"/>
  <c r="O169" i="38"/>
  <c r="P169" i="38" s="1"/>
  <c r="L170" i="38"/>
  <c r="N170" i="38"/>
  <c r="O170" i="38"/>
  <c r="P170" i="38" s="1"/>
  <c r="J171" i="38"/>
  <c r="N171" i="38" s="1"/>
  <c r="O171" i="38"/>
  <c r="P171" i="38" s="1"/>
  <c r="J172" i="38"/>
  <c r="N172" i="38" s="1"/>
  <c r="O172" i="38"/>
  <c r="P172" i="38" s="1"/>
  <c r="J173" i="38"/>
  <c r="N173" i="38" s="1"/>
  <c r="O173" i="38"/>
  <c r="P173" i="38" s="1"/>
  <c r="J174" i="38"/>
  <c r="N174" i="38" s="1"/>
  <c r="O174" i="38"/>
  <c r="P174" i="38" s="1"/>
  <c r="J175" i="38"/>
  <c r="L175" i="38" s="1"/>
  <c r="O175" i="38"/>
  <c r="J176" i="38"/>
  <c r="O176" i="38"/>
  <c r="J177" i="38"/>
  <c r="L177" i="38" s="1"/>
  <c r="O177" i="38"/>
  <c r="J178" i="38"/>
  <c r="O178" i="38"/>
  <c r="J179" i="38"/>
  <c r="N179" i="38" s="1"/>
  <c r="O179" i="38"/>
  <c r="J180" i="38"/>
  <c r="N180" i="38" s="1"/>
  <c r="O180" i="38"/>
  <c r="P180" i="38" s="1"/>
  <c r="J181" i="38"/>
  <c r="N181" i="38" s="1"/>
  <c r="O181" i="38"/>
  <c r="P181" i="38" s="1"/>
  <c r="J182" i="38"/>
  <c r="L182" i="38" s="1"/>
  <c r="O182" i="38"/>
  <c r="J183" i="38"/>
  <c r="L183" i="38" s="1"/>
  <c r="O183" i="38"/>
  <c r="J184" i="38"/>
  <c r="N184" i="38" s="1"/>
  <c r="O184" i="38"/>
  <c r="P184" i="38" s="1"/>
  <c r="J185" i="38"/>
  <c r="N185" i="38" s="1"/>
  <c r="O185" i="38"/>
  <c r="P185" i="38" s="1"/>
  <c r="J186" i="38"/>
  <c r="O186" i="38"/>
  <c r="J187" i="38"/>
  <c r="L187" i="38" s="1"/>
  <c r="O187" i="38"/>
  <c r="J188" i="38"/>
  <c r="N188" i="38" s="1"/>
  <c r="O188" i="38"/>
  <c r="J189" i="38"/>
  <c r="L189" i="38" s="1"/>
  <c r="O189" i="38"/>
  <c r="J190" i="38"/>
  <c r="N190" i="38" s="1"/>
  <c r="O190" i="38"/>
  <c r="P190" i="38" s="1"/>
  <c r="J191" i="38"/>
  <c r="N191" i="38" s="1"/>
  <c r="O191" i="38"/>
  <c r="P191" i="38" s="1"/>
  <c r="J192" i="38"/>
  <c r="O192" i="38"/>
  <c r="J193" i="38"/>
  <c r="N193" i="38" s="1"/>
  <c r="O193" i="38"/>
  <c r="P193" i="38" s="1"/>
  <c r="J194" i="38"/>
  <c r="L194" i="38" s="1"/>
  <c r="O194" i="38"/>
  <c r="J195" i="38"/>
  <c r="L195" i="38" s="1"/>
  <c r="O195" i="38"/>
  <c r="J196" i="38"/>
  <c r="O196" i="38"/>
  <c r="J197" i="38"/>
  <c r="L197" i="38" s="1"/>
  <c r="O197" i="38"/>
  <c r="J198" i="38"/>
  <c r="N198" i="38" s="1"/>
  <c r="O198" i="38"/>
  <c r="J199" i="38"/>
  <c r="N199" i="38" s="1"/>
  <c r="O199" i="38"/>
  <c r="P199" i="38" s="1"/>
  <c r="J200" i="38"/>
  <c r="N200" i="38" s="1"/>
  <c r="O200" i="38"/>
  <c r="P200" i="38" s="1"/>
  <c r="J201" i="38"/>
  <c r="O201" i="38"/>
  <c r="J202" i="38"/>
  <c r="N202" i="38" s="1"/>
  <c r="O202" i="38"/>
  <c r="P202" i="38" s="1"/>
  <c r="J203" i="38"/>
  <c r="N203" i="38" s="1"/>
  <c r="O203" i="38"/>
  <c r="P203" i="38" s="1"/>
  <c r="J204" i="38"/>
  <c r="O204" i="38"/>
  <c r="L205" i="38"/>
  <c r="N205" i="38"/>
  <c r="O205" i="38"/>
  <c r="P205" i="38" s="1"/>
  <c r="L206" i="38"/>
  <c r="N206" i="38"/>
  <c r="O206" i="38"/>
  <c r="P206" i="38" s="1"/>
  <c r="L207" i="38"/>
  <c r="N207" i="38"/>
  <c r="O207" i="38"/>
  <c r="P207" i="38" s="1"/>
  <c r="L208" i="38"/>
  <c r="N208" i="38"/>
  <c r="O208" i="38"/>
  <c r="P208" i="38" s="1"/>
  <c r="L209" i="38"/>
  <c r="N209" i="38"/>
  <c r="O209" i="38"/>
  <c r="P209" i="38" s="1"/>
  <c r="L210" i="38"/>
  <c r="N210" i="38"/>
  <c r="O210" i="38"/>
  <c r="P210" i="38" s="1"/>
  <c r="L211" i="38"/>
  <c r="N211" i="38"/>
  <c r="O211" i="38"/>
  <c r="P211" i="38" s="1"/>
  <c r="L212" i="38"/>
  <c r="N212" i="38"/>
  <c r="O212" i="38"/>
  <c r="P212" i="38" s="1"/>
  <c r="L213" i="38"/>
  <c r="N213" i="38"/>
  <c r="O213" i="38"/>
  <c r="P213" i="38" s="1"/>
  <c r="L214" i="38"/>
  <c r="N214" i="38"/>
  <c r="O214" i="38"/>
  <c r="P214" i="38" s="1"/>
  <c r="J215" i="38"/>
  <c r="O215" i="38"/>
  <c r="J216" i="38"/>
  <c r="O216" i="38"/>
  <c r="J217" i="38"/>
  <c r="O217" i="38"/>
  <c r="J218" i="38"/>
  <c r="O218" i="38"/>
  <c r="L219" i="38"/>
  <c r="N219" i="38"/>
  <c r="O219" i="38"/>
  <c r="P219" i="38" s="1"/>
  <c r="J220" i="38"/>
  <c r="O220" i="38"/>
  <c r="J221" i="38"/>
  <c r="N221" i="38" s="1"/>
  <c r="O221" i="38"/>
  <c r="P221" i="38" s="1"/>
  <c r="L222" i="38"/>
  <c r="N222" i="38"/>
  <c r="O222" i="38"/>
  <c r="L223" i="38"/>
  <c r="N223" i="38"/>
  <c r="O223" i="38"/>
  <c r="L224" i="38"/>
  <c r="N224" i="38"/>
  <c r="O224" i="38"/>
  <c r="P224" i="38" s="1"/>
  <c r="L225" i="38"/>
  <c r="N225" i="38"/>
  <c r="O225" i="38"/>
  <c r="P225" i="38" s="1"/>
  <c r="L226" i="38"/>
  <c r="N226" i="38"/>
  <c r="O226" i="38"/>
  <c r="P226" i="38" s="1"/>
  <c r="L227" i="38"/>
  <c r="N227" i="38"/>
  <c r="O227" i="38"/>
  <c r="P227" i="38" s="1"/>
  <c r="L228" i="38"/>
  <c r="N228" i="38"/>
  <c r="O228" i="38"/>
  <c r="P228" i="38" s="1"/>
  <c r="L229" i="38"/>
  <c r="N229" i="38"/>
  <c r="O229" i="38"/>
  <c r="L230" i="38"/>
  <c r="N230" i="38"/>
  <c r="O230" i="38"/>
  <c r="P230" i="38" s="1"/>
  <c r="L231" i="38"/>
  <c r="N231" i="38"/>
  <c r="O231" i="38"/>
  <c r="P231" i="38" s="1"/>
  <c r="L232" i="38"/>
  <c r="N232" i="38"/>
  <c r="O232" i="38"/>
  <c r="P232" i="38" s="1"/>
  <c r="L233" i="38"/>
  <c r="N233" i="38"/>
  <c r="O233" i="38"/>
  <c r="P233" i="38" s="1"/>
  <c r="L234" i="38"/>
  <c r="N234" i="38"/>
  <c r="O234" i="38"/>
  <c r="P234" i="38" s="1"/>
  <c r="L235" i="38"/>
  <c r="N235" i="38"/>
  <c r="O235" i="38"/>
  <c r="P235" i="38" s="1"/>
  <c r="J236" i="38"/>
  <c r="L236" i="38" s="1"/>
  <c r="O236" i="38"/>
  <c r="J237" i="38"/>
  <c r="N237" i="38" s="1"/>
  <c r="O237" i="38"/>
  <c r="P237" i="38" s="1"/>
  <c r="J238" i="38"/>
  <c r="O238" i="38"/>
  <c r="J239" i="38"/>
  <c r="N239" i="38" s="1"/>
  <c r="O239" i="38"/>
  <c r="P239" i="38" s="1"/>
  <c r="J240" i="38"/>
  <c r="O240" i="38"/>
  <c r="J241" i="38"/>
  <c r="L241" i="38" s="1"/>
  <c r="O241" i="38"/>
  <c r="J242" i="38"/>
  <c r="O242" i="38"/>
  <c r="J243" i="38"/>
  <c r="O243" i="38"/>
  <c r="J244" i="38"/>
  <c r="N244" i="38" s="1"/>
  <c r="O244" i="38"/>
  <c r="P244" i="38" s="1"/>
  <c r="L245" i="38"/>
  <c r="N245" i="38"/>
  <c r="O245" i="38"/>
  <c r="L246" i="38"/>
  <c r="N246" i="38"/>
  <c r="O246" i="38"/>
  <c r="P246" i="38" s="1"/>
  <c r="L247" i="38"/>
  <c r="N247" i="38"/>
  <c r="O247" i="38"/>
  <c r="P247" i="38" s="1"/>
  <c r="L248" i="38"/>
  <c r="N248" i="38"/>
  <c r="O248" i="38"/>
  <c r="P248" i="38" s="1"/>
  <c r="L249" i="38"/>
  <c r="N249" i="38"/>
  <c r="O249" i="38"/>
  <c r="P249" i="38" s="1"/>
  <c r="L250" i="38"/>
  <c r="N250" i="38"/>
  <c r="O250" i="38"/>
  <c r="P250" i="38" s="1"/>
  <c r="L251" i="38"/>
  <c r="N251" i="38"/>
  <c r="O251" i="38"/>
  <c r="P251" i="38" s="1"/>
  <c r="L252" i="38"/>
  <c r="N252" i="38"/>
  <c r="O252" i="38"/>
  <c r="P252" i="38" s="1"/>
  <c r="L253" i="38"/>
  <c r="N253" i="38"/>
  <c r="O253" i="38"/>
  <c r="P253" i="38" s="1"/>
  <c r="L254" i="38"/>
  <c r="N254" i="38"/>
  <c r="O254" i="38"/>
  <c r="P254" i="38" s="1"/>
  <c r="L255" i="38"/>
  <c r="N255" i="38"/>
  <c r="O255" i="38"/>
  <c r="P255" i="38" s="1"/>
  <c r="J256" i="38"/>
  <c r="L256" i="38" s="1"/>
  <c r="O256" i="38"/>
  <c r="J257" i="38"/>
  <c r="N257" i="38" s="1"/>
  <c r="O257" i="38"/>
  <c r="P257" i="38" s="1"/>
  <c r="L258" i="38"/>
  <c r="N258" i="38"/>
  <c r="O258" i="38"/>
  <c r="P258" i="38" s="1"/>
  <c r="L259" i="38"/>
  <c r="N259" i="38"/>
  <c r="O259" i="38"/>
  <c r="L260" i="38"/>
  <c r="N260" i="38"/>
  <c r="O260" i="38"/>
  <c r="P260" i="38" s="1"/>
  <c r="L261" i="38"/>
  <c r="N261" i="38"/>
  <c r="O261" i="38"/>
  <c r="P261" i="38" s="1"/>
  <c r="L262" i="38"/>
  <c r="N262" i="38"/>
  <c r="O262" i="38"/>
  <c r="P262" i="38" s="1"/>
  <c r="L263" i="38"/>
  <c r="N263" i="38"/>
  <c r="O263" i="38"/>
  <c r="P263" i="38" s="1"/>
  <c r="L264" i="38"/>
  <c r="N264" i="38"/>
  <c r="O264" i="38"/>
  <c r="P264" i="38" s="1"/>
  <c r="L265" i="38"/>
  <c r="N265" i="38"/>
  <c r="O265" i="38"/>
  <c r="P265" i="38" s="1"/>
  <c r="L266" i="38"/>
  <c r="N266" i="38"/>
  <c r="O266" i="38"/>
  <c r="P266" i="38" s="1"/>
  <c r="J267" i="38"/>
  <c r="L267" i="38" s="1"/>
  <c r="O267" i="38"/>
  <c r="J268" i="38"/>
  <c r="L268" i="38" s="1"/>
  <c r="O268" i="38"/>
  <c r="J269" i="38"/>
  <c r="L269" i="38" s="1"/>
  <c r="O269" i="38"/>
  <c r="L270" i="38"/>
  <c r="N270" i="38"/>
  <c r="O270" i="38"/>
  <c r="P270" i="38" s="1"/>
  <c r="L271" i="38"/>
  <c r="N271" i="38"/>
  <c r="O271" i="38"/>
  <c r="P271" i="38" s="1"/>
  <c r="L272" i="38"/>
  <c r="N272" i="38"/>
  <c r="O272" i="38"/>
  <c r="P272" i="38" s="1"/>
  <c r="L273" i="38"/>
  <c r="N273" i="38"/>
  <c r="O273" i="38"/>
  <c r="P273" i="38" s="1"/>
  <c r="J274" i="38"/>
  <c r="N274" i="38" s="1"/>
  <c r="O274" i="38"/>
  <c r="P274" i="38" s="1"/>
  <c r="J275" i="38"/>
  <c r="O275" i="38"/>
  <c r="L276" i="38"/>
  <c r="N276" i="38"/>
  <c r="O276" i="38"/>
  <c r="P276" i="38" s="1"/>
  <c r="L277" i="38"/>
  <c r="N277" i="38"/>
  <c r="O277" i="38"/>
  <c r="P277" i="38" s="1"/>
  <c r="L278" i="38"/>
  <c r="N278" i="38"/>
  <c r="O278" i="38"/>
  <c r="P278" i="38" s="1"/>
  <c r="L279" i="38"/>
  <c r="N279" i="38"/>
  <c r="O279" i="38"/>
  <c r="P279" i="38" s="1"/>
  <c r="L280" i="38"/>
  <c r="N280" i="38"/>
  <c r="O280" i="38"/>
  <c r="P280" i="38" s="1"/>
  <c r="L281" i="38"/>
  <c r="N281" i="38"/>
  <c r="O281" i="38"/>
  <c r="P281" i="38" s="1"/>
  <c r="L282" i="38"/>
  <c r="N282" i="38"/>
  <c r="O282" i="38"/>
  <c r="P282" i="38" s="1"/>
  <c r="L283" i="38"/>
  <c r="N283" i="38"/>
  <c r="O283" i="38"/>
  <c r="P283" i="38" s="1"/>
  <c r="L284" i="38"/>
  <c r="N284" i="38"/>
  <c r="O284" i="38"/>
  <c r="P284" i="38" s="1"/>
  <c r="L285" i="38"/>
  <c r="N285" i="38"/>
  <c r="O285" i="38"/>
  <c r="P285" i="38" s="1"/>
  <c r="L286" i="38"/>
  <c r="N286" i="38"/>
  <c r="O286" i="38"/>
  <c r="P286" i="38" s="1"/>
  <c r="L287" i="38"/>
  <c r="N287" i="38"/>
  <c r="O287" i="38"/>
  <c r="P287" i="38" s="1"/>
  <c r="L288" i="38"/>
  <c r="N288" i="38"/>
  <c r="O288" i="38"/>
  <c r="L289" i="38"/>
  <c r="N289" i="38"/>
  <c r="O289" i="38"/>
  <c r="L290" i="38"/>
  <c r="N290" i="38"/>
  <c r="O290" i="38"/>
  <c r="P290" i="38" s="1"/>
  <c r="L291" i="38"/>
  <c r="N291" i="38"/>
  <c r="O291" i="38"/>
  <c r="L292" i="38"/>
  <c r="N292" i="38"/>
  <c r="O292" i="38"/>
  <c r="P292" i="38" s="1"/>
  <c r="L293" i="38"/>
  <c r="N293" i="38"/>
  <c r="O293" i="38"/>
  <c r="P293" i="38" s="1"/>
  <c r="L294" i="38"/>
  <c r="N294" i="38"/>
  <c r="O294" i="38"/>
  <c r="L295" i="38"/>
  <c r="N295" i="38"/>
  <c r="O295" i="38"/>
  <c r="P295" i="38" s="1"/>
  <c r="L296" i="38"/>
  <c r="N296" i="38"/>
  <c r="O296" i="38"/>
  <c r="P296" i="38" s="1"/>
  <c r="L297" i="38"/>
  <c r="N297" i="38"/>
  <c r="O297" i="38"/>
  <c r="P297" i="38" s="1"/>
  <c r="L298" i="38"/>
  <c r="N298" i="38"/>
  <c r="O298" i="38"/>
  <c r="P298" i="38" s="1"/>
  <c r="J299" i="38"/>
  <c r="N299" i="38" s="1"/>
  <c r="O299" i="38"/>
  <c r="P299" i="38" s="1"/>
  <c r="J300" i="38"/>
  <c r="O300" i="38"/>
  <c r="J301" i="38"/>
  <c r="L301" i="38" s="1"/>
  <c r="O301" i="38"/>
  <c r="J302" i="38"/>
  <c r="L302" i="38" s="1"/>
  <c r="O302" i="38"/>
  <c r="J303" i="38"/>
  <c r="L303" i="38" s="1"/>
  <c r="O303" i="38"/>
  <c r="J304" i="38"/>
  <c r="L304" i="38" s="1"/>
  <c r="O304" i="38"/>
  <c r="J305" i="38"/>
  <c r="L305" i="38" s="1"/>
  <c r="O305" i="38"/>
  <c r="J306" i="38"/>
  <c r="L306" i="38" s="1"/>
  <c r="O306" i="38"/>
  <c r="L307" i="38"/>
  <c r="N307" i="38"/>
  <c r="O307" i="38"/>
  <c r="L308" i="38"/>
  <c r="N308" i="38"/>
  <c r="O308" i="38"/>
  <c r="P308" i="38" s="1"/>
  <c r="L309" i="38"/>
  <c r="N309" i="38"/>
  <c r="O309" i="38"/>
  <c r="P309" i="38" s="1"/>
  <c r="J310" i="38"/>
  <c r="N310" i="38" s="1"/>
  <c r="O310" i="38"/>
  <c r="P310" i="38" s="1"/>
  <c r="J311" i="38"/>
  <c r="N311" i="38" s="1"/>
  <c r="O311" i="38"/>
  <c r="P311" i="38" s="1"/>
  <c r="J312" i="38"/>
  <c r="N312" i="38" s="1"/>
  <c r="O312" i="38"/>
  <c r="P312" i="38" s="1"/>
  <c r="J313" i="38"/>
  <c r="O313" i="38"/>
  <c r="L314" i="38"/>
  <c r="N314" i="38"/>
  <c r="O314" i="38"/>
  <c r="P314" i="38" s="1"/>
  <c r="L315" i="38"/>
  <c r="N315" i="38"/>
  <c r="O315" i="38"/>
  <c r="L316" i="38"/>
  <c r="N316" i="38"/>
  <c r="O316" i="38"/>
  <c r="P316" i="38" s="1"/>
  <c r="L317" i="38"/>
  <c r="N317" i="38"/>
  <c r="O317" i="38"/>
  <c r="P317" i="38" s="1"/>
  <c r="L318" i="38"/>
  <c r="N318" i="38"/>
  <c r="O318" i="38"/>
  <c r="L319" i="38"/>
  <c r="N319" i="38"/>
  <c r="O319" i="38"/>
  <c r="P319" i="38" s="1"/>
  <c r="L320" i="38"/>
  <c r="N320" i="38"/>
  <c r="O320" i="38"/>
  <c r="P320" i="38" s="1"/>
  <c r="L321" i="38"/>
  <c r="N321" i="38"/>
  <c r="O321" i="38"/>
  <c r="P321" i="38" s="1"/>
  <c r="L322" i="38"/>
  <c r="N322" i="38"/>
  <c r="O322" i="38"/>
  <c r="P322" i="38" s="1"/>
  <c r="L323" i="38"/>
  <c r="N323" i="38"/>
  <c r="O323" i="38"/>
  <c r="P323" i="38" s="1"/>
  <c r="L324" i="38"/>
  <c r="N324" i="38"/>
  <c r="O324" i="38"/>
  <c r="P324" i="38" s="1"/>
  <c r="L325" i="38"/>
  <c r="N325" i="38"/>
  <c r="O325" i="38"/>
  <c r="L326" i="38"/>
  <c r="N326" i="38"/>
  <c r="O326" i="38"/>
  <c r="P326" i="38" s="1"/>
  <c r="J327" i="38"/>
  <c r="L327" i="38" s="1"/>
  <c r="O327" i="38"/>
  <c r="J328" i="38"/>
  <c r="L328" i="38" s="1"/>
  <c r="O328" i="38"/>
  <c r="J329" i="38"/>
  <c r="L329" i="38" s="1"/>
  <c r="O329" i="38"/>
  <c r="J330" i="38"/>
  <c r="O330" i="38"/>
  <c r="J331" i="38"/>
  <c r="L331" i="38" s="1"/>
  <c r="O331" i="38"/>
  <c r="J332" i="38"/>
  <c r="L332" i="38" s="1"/>
  <c r="O332" i="38"/>
  <c r="J333" i="38"/>
  <c r="L333" i="38" s="1"/>
  <c r="O333" i="38"/>
  <c r="J334" i="38"/>
  <c r="N334" i="38" s="1"/>
  <c r="O334" i="38"/>
  <c r="J335" i="38"/>
  <c r="L335" i="38" s="1"/>
  <c r="O335" i="38"/>
  <c r="J336" i="38"/>
  <c r="O336" i="38"/>
  <c r="J337" i="38"/>
  <c r="L337" i="38" s="1"/>
  <c r="O337" i="38"/>
  <c r="J338" i="38"/>
  <c r="N338" i="38" s="1"/>
  <c r="O338" i="38"/>
  <c r="P338" i="38" s="1"/>
  <c r="J339" i="38"/>
  <c r="O339" i="38"/>
  <c r="J340" i="38"/>
  <c r="L340" i="38" s="1"/>
  <c r="O340" i="38"/>
  <c r="J341" i="38"/>
  <c r="L341" i="38" s="1"/>
  <c r="O341" i="38"/>
  <c r="J342" i="38"/>
  <c r="O342" i="38"/>
  <c r="J343" i="38"/>
  <c r="L343" i="38" s="1"/>
  <c r="O343" i="38"/>
  <c r="J344" i="38"/>
  <c r="O344" i="38"/>
  <c r="J345" i="38"/>
  <c r="L345" i="38" s="1"/>
  <c r="O345" i="38"/>
  <c r="J346" i="38"/>
  <c r="N346" i="38" s="1"/>
  <c r="O346" i="38"/>
  <c r="P346" i="38" s="1"/>
  <c r="J347" i="38"/>
  <c r="L347" i="38" s="1"/>
  <c r="O347" i="38"/>
  <c r="J348" i="38"/>
  <c r="N348" i="38" s="1"/>
  <c r="O348" i="38"/>
  <c r="P348" i="38" s="1"/>
  <c r="J349" i="38"/>
  <c r="N349" i="38" s="1"/>
  <c r="O349" i="38"/>
  <c r="P349" i="38" s="1"/>
  <c r="J350" i="38"/>
  <c r="O350" i="38"/>
  <c r="J351" i="38"/>
  <c r="L351" i="38" s="1"/>
  <c r="O351" i="38"/>
  <c r="J352" i="38"/>
  <c r="L352" i="38" s="1"/>
  <c r="O352" i="38"/>
  <c r="J353" i="38"/>
  <c r="L353" i="38" s="1"/>
  <c r="O353" i="38"/>
  <c r="J354" i="38"/>
  <c r="N354" i="38" s="1"/>
  <c r="O354" i="38"/>
  <c r="J355" i="38"/>
  <c r="L355" i="38" s="1"/>
  <c r="O355" i="38"/>
  <c r="L356" i="38"/>
  <c r="N356" i="38"/>
  <c r="O356" i="38"/>
  <c r="L357" i="38"/>
  <c r="N357" i="38"/>
  <c r="O357" i="38"/>
  <c r="P357" i="38" s="1"/>
  <c r="L358" i="38"/>
  <c r="N358" i="38"/>
  <c r="O358" i="38"/>
  <c r="L359" i="38"/>
  <c r="N359" i="38"/>
  <c r="O359" i="38"/>
  <c r="P359" i="38" s="1"/>
  <c r="K360" i="38"/>
  <c r="L360" i="38" s="1"/>
  <c r="N360" i="38"/>
  <c r="O360" i="38"/>
  <c r="P360" i="38" s="1"/>
  <c r="L361" i="38"/>
  <c r="N361" i="38"/>
  <c r="O361" i="38"/>
  <c r="L362" i="38"/>
  <c r="N362" i="38"/>
  <c r="O362" i="38"/>
  <c r="L363" i="38"/>
  <c r="N363" i="38"/>
  <c r="O363" i="38"/>
  <c r="P363" i="38" s="1"/>
  <c r="L364" i="38"/>
  <c r="N364" i="38"/>
  <c r="O364" i="38"/>
  <c r="P364" i="38" s="1"/>
  <c r="L365" i="38"/>
  <c r="N365" i="38"/>
  <c r="O365" i="38"/>
  <c r="P365" i="38" s="1"/>
  <c r="L366" i="38"/>
  <c r="N366" i="38"/>
  <c r="O366" i="38"/>
  <c r="P366" i="38" s="1"/>
  <c r="L367" i="38"/>
  <c r="N367" i="38"/>
  <c r="O367" i="38"/>
  <c r="P367" i="38" s="1"/>
  <c r="L368" i="38"/>
  <c r="N368" i="38"/>
  <c r="O368" i="38"/>
  <c r="L369" i="38"/>
  <c r="N369" i="38"/>
  <c r="O369" i="38"/>
  <c r="P369" i="38" s="1"/>
  <c r="L370" i="38"/>
  <c r="N370" i="38"/>
  <c r="O370" i="38"/>
  <c r="P370" i="38" s="1"/>
  <c r="L371" i="38"/>
  <c r="N371" i="38"/>
  <c r="O371" i="38"/>
  <c r="P371" i="38" s="1"/>
  <c r="L372" i="38"/>
  <c r="N372" i="38"/>
  <c r="O372" i="38"/>
  <c r="P372" i="38" s="1"/>
  <c r="L373" i="38"/>
  <c r="N373" i="38"/>
  <c r="O373" i="38"/>
  <c r="P373" i="38" s="1"/>
  <c r="L374" i="38"/>
  <c r="N374" i="38"/>
  <c r="O374" i="38"/>
  <c r="P374" i="38" s="1"/>
  <c r="L375" i="38"/>
  <c r="N375" i="38"/>
  <c r="O375" i="38"/>
  <c r="P375" i="38" s="1"/>
  <c r="L376" i="38"/>
  <c r="N376" i="38"/>
  <c r="O376" i="38"/>
  <c r="L377" i="38"/>
  <c r="N377" i="38"/>
  <c r="O377" i="38"/>
  <c r="P377" i="38" s="1"/>
  <c r="L378" i="38"/>
  <c r="N378" i="38"/>
  <c r="O378" i="38"/>
  <c r="L379" i="38"/>
  <c r="N379" i="38"/>
  <c r="O379" i="38"/>
  <c r="P379" i="38" s="1"/>
  <c r="L380" i="38"/>
  <c r="N380" i="38"/>
  <c r="O380" i="38"/>
  <c r="P380" i="38" s="1"/>
  <c r="L381" i="38"/>
  <c r="N381" i="38"/>
  <c r="O381" i="38"/>
  <c r="L382" i="38"/>
  <c r="N382" i="38"/>
  <c r="O382" i="38"/>
  <c r="P382" i="38" s="1"/>
  <c r="L383" i="38"/>
  <c r="N383" i="38"/>
  <c r="O383" i="38"/>
  <c r="P383" i="38" s="1"/>
  <c r="L384" i="38"/>
  <c r="N384" i="38"/>
  <c r="O384" i="38"/>
  <c r="P384" i="38" s="1"/>
  <c r="L385" i="38"/>
  <c r="N385" i="38"/>
  <c r="O385" i="38"/>
  <c r="P385" i="38" s="1"/>
  <c r="L386" i="38"/>
  <c r="N386" i="38"/>
  <c r="O386" i="38"/>
  <c r="P386" i="38" s="1"/>
  <c r="L387" i="38"/>
  <c r="N387" i="38"/>
  <c r="O387" i="38"/>
  <c r="P387" i="38" s="1"/>
  <c r="L388" i="38"/>
  <c r="N388" i="38"/>
  <c r="O388" i="38"/>
  <c r="L389" i="38"/>
  <c r="N389" i="38"/>
  <c r="O389" i="38"/>
  <c r="P389" i="38" s="1"/>
  <c r="L390" i="38"/>
  <c r="N390" i="38"/>
  <c r="O390" i="38"/>
  <c r="P390" i="38" s="1"/>
  <c r="L391" i="38"/>
  <c r="N391" i="38"/>
  <c r="O391" i="38"/>
  <c r="P391" i="38" s="1"/>
  <c r="L392" i="38"/>
  <c r="N392" i="38"/>
  <c r="O392" i="38"/>
  <c r="P392" i="38" s="1"/>
  <c r="L393" i="38"/>
  <c r="N393" i="38"/>
  <c r="O393" i="38"/>
  <c r="P393" i="38" s="1"/>
  <c r="L394" i="38"/>
  <c r="N394" i="38"/>
  <c r="O394" i="38"/>
  <c r="P394" i="38" s="1"/>
  <c r="L395" i="38"/>
  <c r="N395" i="38"/>
  <c r="O395" i="38"/>
  <c r="P395" i="38" s="1"/>
  <c r="L396" i="38"/>
  <c r="N396" i="38"/>
  <c r="O396" i="38"/>
  <c r="L397" i="38"/>
  <c r="N397" i="38"/>
  <c r="O397" i="38"/>
  <c r="P397" i="38" s="1"/>
  <c r="L398" i="38"/>
  <c r="N398" i="38"/>
  <c r="O398" i="38"/>
  <c r="L399" i="38"/>
  <c r="N399" i="38"/>
  <c r="O399" i="38"/>
  <c r="P399" i="38" s="1"/>
  <c r="L400" i="38"/>
  <c r="N400" i="38"/>
  <c r="O400" i="38"/>
  <c r="P400" i="38" s="1"/>
  <c r="L401" i="38"/>
  <c r="N401" i="38"/>
  <c r="O401" i="38"/>
  <c r="L402" i="38"/>
  <c r="N402" i="38"/>
  <c r="O402" i="38"/>
  <c r="P402" i="38" s="1"/>
  <c r="L403" i="38"/>
  <c r="N403" i="38"/>
  <c r="O403" i="38"/>
  <c r="P403" i="38" s="1"/>
  <c r="L404" i="38"/>
  <c r="N404" i="38"/>
  <c r="O404" i="38"/>
  <c r="P404" i="38" s="1"/>
  <c r="L405" i="38"/>
  <c r="N405" i="38"/>
  <c r="O405" i="38"/>
  <c r="P405" i="38" s="1"/>
  <c r="L406" i="38"/>
  <c r="N406" i="38"/>
  <c r="O406" i="38"/>
  <c r="P406" i="38" s="1"/>
  <c r="L407" i="38"/>
  <c r="N407" i="38"/>
  <c r="O407" i="38"/>
  <c r="P407" i="38" s="1"/>
  <c r="L408" i="38"/>
  <c r="N408" i="38"/>
  <c r="O408" i="38"/>
  <c r="P408" i="38" s="1"/>
  <c r="L409" i="38"/>
  <c r="N409" i="38"/>
  <c r="O409" i="38"/>
  <c r="P409" i="38" s="1"/>
  <c r="L410" i="38"/>
  <c r="N410" i="38"/>
  <c r="O410" i="38"/>
  <c r="P410" i="38" s="1"/>
  <c r="L411" i="38"/>
  <c r="N411" i="38"/>
  <c r="O411" i="38"/>
  <c r="P411" i="38" s="1"/>
  <c r="L412" i="38"/>
  <c r="N412" i="38"/>
  <c r="O412" i="38"/>
  <c r="P412" i="38" s="1"/>
  <c r="L413" i="38"/>
  <c r="N413" i="38"/>
  <c r="O413" i="38"/>
  <c r="P413" i="38" s="1"/>
  <c r="L414" i="38"/>
  <c r="N414" i="38"/>
  <c r="O414" i="38"/>
  <c r="P414" i="38" s="1"/>
  <c r="L415" i="38"/>
  <c r="N415" i="38"/>
  <c r="O415" i="38"/>
  <c r="P415" i="38" s="1"/>
  <c r="L416" i="38"/>
  <c r="N416" i="38"/>
  <c r="O416" i="38"/>
  <c r="L417" i="38"/>
  <c r="N417" i="38"/>
  <c r="O417" i="38"/>
  <c r="P417" i="38" s="1"/>
  <c r="L418" i="38"/>
  <c r="N418" i="38"/>
  <c r="O418" i="38"/>
  <c r="L419" i="38"/>
  <c r="N419" i="38"/>
  <c r="O419" i="38"/>
  <c r="P419" i="38" s="1"/>
  <c r="L420" i="38"/>
  <c r="N420" i="38"/>
  <c r="O420" i="38"/>
  <c r="P420" i="38" s="1"/>
  <c r="L421" i="38"/>
  <c r="N421" i="38"/>
  <c r="O421" i="38"/>
  <c r="L422" i="38"/>
  <c r="N422" i="38"/>
  <c r="O422" i="38"/>
  <c r="P422" i="38" s="1"/>
  <c r="L423" i="38"/>
  <c r="N423" i="38"/>
  <c r="O423" i="38"/>
  <c r="P423" i="38" s="1"/>
  <c r="L424" i="38"/>
  <c r="N424" i="38"/>
  <c r="O424" i="38"/>
  <c r="P424" i="38" s="1"/>
  <c r="L425" i="38"/>
  <c r="N425" i="38"/>
  <c r="O425" i="38"/>
  <c r="P425" i="38" s="1"/>
  <c r="L426" i="38"/>
  <c r="N426" i="38"/>
  <c r="O426" i="38"/>
  <c r="P426" i="38" s="1"/>
  <c r="L427" i="38"/>
  <c r="N427" i="38"/>
  <c r="O427" i="38"/>
  <c r="P427" i="38" s="1"/>
  <c r="L428" i="38"/>
  <c r="N428" i="38"/>
  <c r="O428" i="38"/>
  <c r="P428" i="38" s="1"/>
  <c r="L429" i="38"/>
  <c r="N429" i="38"/>
  <c r="O429" i="38"/>
  <c r="P429" i="38" s="1"/>
  <c r="L430" i="38"/>
  <c r="N430" i="38"/>
  <c r="O430" i="38"/>
  <c r="P430" i="38" s="1"/>
  <c r="L431" i="38"/>
  <c r="N431" i="38"/>
  <c r="O431" i="38"/>
  <c r="P431" i="38" s="1"/>
  <c r="L432" i="38"/>
  <c r="N432" i="38"/>
  <c r="O432" i="38"/>
  <c r="P432" i="38" s="1"/>
  <c r="L433" i="38"/>
  <c r="N433" i="38"/>
  <c r="O433" i="38"/>
  <c r="P433" i="38" s="1"/>
  <c r="L434" i="38"/>
  <c r="N434" i="38"/>
  <c r="O434" i="38"/>
  <c r="P434" i="38" s="1"/>
  <c r="L435" i="38"/>
  <c r="N435" i="38"/>
  <c r="O435" i="38"/>
  <c r="P435" i="38" s="1"/>
  <c r="L436" i="38"/>
  <c r="N436" i="38"/>
  <c r="O436" i="38"/>
  <c r="L437" i="38"/>
  <c r="N437" i="38"/>
  <c r="O437" i="38"/>
  <c r="P437" i="38" s="1"/>
  <c r="L438" i="38"/>
  <c r="N438" i="38"/>
  <c r="O438" i="38"/>
  <c r="L439" i="38"/>
  <c r="N439" i="38"/>
  <c r="O439" i="38"/>
  <c r="P439" i="38" s="1"/>
  <c r="L440" i="38"/>
  <c r="N440" i="38"/>
  <c r="O440" i="38"/>
  <c r="P440" i="38" s="1"/>
  <c r="L441" i="38"/>
  <c r="N441" i="38"/>
  <c r="O441" i="38"/>
  <c r="L442" i="38"/>
  <c r="N442" i="38"/>
  <c r="O442" i="38"/>
  <c r="P442" i="38" s="1"/>
  <c r="L443" i="38"/>
  <c r="N443" i="38"/>
  <c r="O443" i="38"/>
  <c r="P443" i="38" s="1"/>
  <c r="L444" i="38"/>
  <c r="N444" i="38"/>
  <c r="O444" i="38"/>
  <c r="P444" i="38" s="1"/>
  <c r="L445" i="38"/>
  <c r="N445" i="38"/>
  <c r="O445" i="38"/>
  <c r="P445" i="38" s="1"/>
  <c r="L446" i="38"/>
  <c r="N446" i="38"/>
  <c r="O446" i="38"/>
  <c r="P446" i="38" s="1"/>
  <c r="L447" i="38"/>
  <c r="N447" i="38"/>
  <c r="O447" i="38"/>
  <c r="P447" i="38" s="1"/>
  <c r="L448" i="38"/>
  <c r="N448" i="38"/>
  <c r="O448" i="38"/>
  <c r="P448" i="38" s="1"/>
  <c r="L449" i="38"/>
  <c r="N449" i="38"/>
  <c r="O449" i="38"/>
  <c r="P449" i="38" s="1"/>
  <c r="L450" i="38"/>
  <c r="N450" i="38"/>
  <c r="O450" i="38"/>
  <c r="P450" i="38" s="1"/>
  <c r="L451" i="38"/>
  <c r="N451" i="38"/>
  <c r="O451" i="38"/>
  <c r="P451" i="38" s="1"/>
  <c r="L452" i="38"/>
  <c r="N452" i="38"/>
  <c r="O452" i="38"/>
  <c r="P452" i="38" s="1"/>
  <c r="L453" i="38"/>
  <c r="N453" i="38"/>
  <c r="O453" i="38"/>
  <c r="P453" i="38" s="1"/>
  <c r="L454" i="38"/>
  <c r="N454" i="38"/>
  <c r="O454" i="38"/>
  <c r="P454" i="38" s="1"/>
  <c r="L455" i="38"/>
  <c r="N455" i="38"/>
  <c r="O455" i="38"/>
  <c r="L456" i="38"/>
  <c r="N456" i="38"/>
  <c r="O456" i="38"/>
  <c r="L457" i="38"/>
  <c r="N457" i="38"/>
  <c r="O457" i="38"/>
  <c r="P457" i="38" s="1"/>
  <c r="L458" i="38"/>
  <c r="N458" i="38"/>
  <c r="O458" i="38"/>
  <c r="L459" i="38"/>
  <c r="N459" i="38"/>
  <c r="O459" i="38"/>
  <c r="P459" i="38" s="1"/>
  <c r="L460" i="38"/>
  <c r="N460" i="38"/>
  <c r="O460" i="38"/>
  <c r="P460" i="38" s="1"/>
  <c r="L461" i="38"/>
  <c r="N461" i="38"/>
  <c r="O461" i="38"/>
  <c r="L462" i="38"/>
  <c r="N462" i="38"/>
  <c r="O462" i="38"/>
  <c r="P462" i="38" s="1"/>
  <c r="L463" i="38"/>
  <c r="N463" i="38"/>
  <c r="O463" i="38"/>
  <c r="P463" i="38" s="1"/>
  <c r="L464" i="38"/>
  <c r="N464" i="38"/>
  <c r="O464" i="38"/>
  <c r="P464" i="38" s="1"/>
  <c r="L465" i="38"/>
  <c r="N465" i="38"/>
  <c r="O465" i="38"/>
  <c r="P465" i="38" s="1"/>
  <c r="L466" i="38"/>
  <c r="O466" i="38"/>
  <c r="P466" i="38" s="1"/>
  <c r="L467" i="38"/>
  <c r="O467" i="38"/>
  <c r="P467" i="38" s="1"/>
  <c r="L468" i="38"/>
  <c r="N468" i="38"/>
  <c r="O468" i="38"/>
  <c r="P468" i="38" s="1"/>
  <c r="L469" i="38"/>
  <c r="N469" i="38"/>
  <c r="O469" i="38"/>
  <c r="P469" i="38" s="1"/>
  <c r="L470" i="38"/>
  <c r="N470" i="38"/>
  <c r="O470" i="38"/>
  <c r="L471" i="38"/>
  <c r="N471" i="38"/>
  <c r="O471" i="38"/>
  <c r="P471" i="38" s="1"/>
  <c r="L472" i="38"/>
  <c r="N472" i="38"/>
  <c r="O472" i="38"/>
  <c r="L473" i="38"/>
  <c r="N473" i="38"/>
  <c r="O473" i="38"/>
  <c r="P473" i="38" s="1"/>
  <c r="L474" i="38"/>
  <c r="N474" i="38"/>
  <c r="O474" i="38"/>
  <c r="P474" i="38" s="1"/>
  <c r="L475" i="38"/>
  <c r="N475" i="38"/>
  <c r="O475" i="38"/>
  <c r="L476" i="38"/>
  <c r="N476" i="38"/>
  <c r="O476" i="38"/>
  <c r="P476" i="38" s="1"/>
  <c r="L477" i="38"/>
  <c r="N477" i="38"/>
  <c r="O477" i="38"/>
  <c r="P477" i="38" s="1"/>
  <c r="L478" i="38"/>
  <c r="N478" i="38"/>
  <c r="O478" i="38"/>
  <c r="P478" i="38" s="1"/>
  <c r="L479" i="38"/>
  <c r="N479" i="38"/>
  <c r="O479" i="38"/>
  <c r="P479" i="38" s="1"/>
  <c r="L480" i="38"/>
  <c r="N480" i="38"/>
  <c r="O480" i="38"/>
  <c r="P480" i="38" s="1"/>
  <c r="L481" i="38"/>
  <c r="N481" i="38"/>
  <c r="O481" i="38"/>
  <c r="P481" i="38" s="1"/>
  <c r="L482" i="38"/>
  <c r="N482" i="38"/>
  <c r="O482" i="38"/>
  <c r="P482" i="38" s="1"/>
  <c r="L483" i="38"/>
  <c r="N483" i="38"/>
  <c r="O483" i="38"/>
  <c r="P483" i="38" s="1"/>
  <c r="L484" i="38"/>
  <c r="N484" i="38"/>
  <c r="O484" i="38"/>
  <c r="P484" i="38" s="1"/>
  <c r="L485" i="38"/>
  <c r="N485" i="38"/>
  <c r="O485" i="38"/>
  <c r="P485" i="38" s="1"/>
  <c r="L486" i="38"/>
  <c r="N486" i="38"/>
  <c r="O486" i="38"/>
  <c r="P486" i="38" s="1"/>
  <c r="L487" i="38"/>
  <c r="N487" i="38"/>
  <c r="O487" i="38"/>
  <c r="P487" i="38" s="1"/>
  <c r="L488" i="38"/>
  <c r="N488" i="38"/>
  <c r="O488" i="38"/>
  <c r="P488" i="38" s="1"/>
  <c r="L489" i="38"/>
  <c r="N489" i="38"/>
  <c r="O489" i="38"/>
  <c r="P489" i="38" s="1"/>
  <c r="L490" i="38"/>
  <c r="N490" i="38"/>
  <c r="O490" i="38"/>
  <c r="L491" i="38"/>
  <c r="N491" i="38"/>
  <c r="O491" i="38"/>
  <c r="P491" i="38" s="1"/>
  <c r="L492" i="38"/>
  <c r="N492" i="38"/>
  <c r="O492" i="38"/>
  <c r="L493" i="38"/>
  <c r="N493" i="38"/>
  <c r="O493" i="38"/>
  <c r="P493" i="38" s="1"/>
  <c r="L494" i="38"/>
  <c r="N494" i="38"/>
  <c r="O494" i="38"/>
  <c r="P494" i="38" s="1"/>
  <c r="L495" i="38"/>
  <c r="N495" i="38"/>
  <c r="O495" i="38"/>
  <c r="L496" i="38"/>
  <c r="N496" i="38"/>
  <c r="O496" i="38"/>
  <c r="P496" i="38" s="1"/>
  <c r="L497" i="38"/>
  <c r="N497" i="38"/>
  <c r="O497" i="38"/>
  <c r="P497" i="38" s="1"/>
  <c r="L498" i="38"/>
  <c r="N498" i="38"/>
  <c r="O498" i="38"/>
  <c r="P498" i="38" s="1"/>
  <c r="L499" i="38"/>
  <c r="N499" i="38"/>
  <c r="O499" i="38"/>
  <c r="P499" i="38" s="1"/>
  <c r="L500" i="38"/>
  <c r="N500" i="38"/>
  <c r="O500" i="38"/>
  <c r="P500" i="38" s="1"/>
  <c r="L501" i="38"/>
  <c r="N501" i="38"/>
  <c r="O501" i="38"/>
  <c r="P501" i="38" s="1"/>
  <c r="L502" i="38"/>
  <c r="N502" i="38"/>
  <c r="O502" i="38"/>
  <c r="P502" i="38" s="1"/>
  <c r="L503" i="38"/>
  <c r="N503" i="38"/>
  <c r="O503" i="38"/>
  <c r="P503" i="38" s="1"/>
  <c r="L504" i="38"/>
  <c r="N504" i="38"/>
  <c r="O504" i="38"/>
  <c r="P504" i="38" s="1"/>
  <c r="L505" i="38"/>
  <c r="N505" i="38"/>
  <c r="O505" i="38"/>
  <c r="P505" i="38" s="1"/>
  <c r="L506" i="38"/>
  <c r="N506" i="38"/>
  <c r="O506" i="38"/>
  <c r="P506" i="38" s="1"/>
  <c r="L507" i="38"/>
  <c r="N507" i="38"/>
  <c r="O507" i="38"/>
  <c r="P507" i="38" s="1"/>
  <c r="L508" i="38"/>
  <c r="N508" i="38"/>
  <c r="O508" i="38"/>
  <c r="P508" i="38" s="1"/>
  <c r="L509" i="38"/>
  <c r="N509" i="38"/>
  <c r="O509" i="38"/>
  <c r="P509" i="38" s="1"/>
  <c r="L510" i="38"/>
  <c r="N510" i="38"/>
  <c r="O510" i="38"/>
  <c r="L511" i="38"/>
  <c r="N511" i="38"/>
  <c r="O511" i="38"/>
  <c r="P511" i="38" s="1"/>
  <c r="L512" i="38"/>
  <c r="N512" i="38"/>
  <c r="O512" i="38"/>
  <c r="L513" i="38"/>
  <c r="N513" i="38"/>
  <c r="O513" i="38"/>
  <c r="P513" i="38" s="1"/>
  <c r="L514" i="38"/>
  <c r="N514" i="38"/>
  <c r="O514" i="38"/>
  <c r="P514" i="38" s="1"/>
  <c r="L515" i="38"/>
  <c r="N515" i="38"/>
  <c r="O515" i="38"/>
  <c r="L516" i="38"/>
  <c r="N516" i="38"/>
  <c r="O516" i="38"/>
  <c r="P516" i="38" s="1"/>
  <c r="L517" i="38"/>
  <c r="N517" i="38"/>
  <c r="O517" i="38"/>
  <c r="P517" i="38" s="1"/>
  <c r="L518" i="38"/>
  <c r="N518" i="38"/>
  <c r="O518" i="38"/>
  <c r="P518" i="38" s="1"/>
  <c r="L519" i="38"/>
  <c r="N519" i="38"/>
  <c r="O519" i="38"/>
  <c r="P519" i="38" s="1"/>
  <c r="L520" i="38"/>
  <c r="N520" i="38"/>
  <c r="O520" i="38"/>
  <c r="P520" i="38" s="1"/>
  <c r="L521" i="38"/>
  <c r="N521" i="38"/>
  <c r="O521" i="38"/>
  <c r="P521" i="38" s="1"/>
  <c r="L522" i="38"/>
  <c r="N522" i="38"/>
  <c r="O522" i="38"/>
  <c r="P522" i="38" s="1"/>
  <c r="L523" i="38"/>
  <c r="N523" i="38"/>
  <c r="O523" i="38"/>
  <c r="P523" i="38" s="1"/>
  <c r="L524" i="38"/>
  <c r="N524" i="38"/>
  <c r="O524" i="38"/>
  <c r="P524" i="38" s="1"/>
  <c r="L624" i="38"/>
  <c r="N624" i="38"/>
  <c r="O624" i="38"/>
  <c r="P624" i="38" s="1"/>
  <c r="L625" i="38"/>
  <c r="N625" i="38"/>
  <c r="O625" i="38"/>
  <c r="P625" i="38" s="1"/>
  <c r="L626" i="38"/>
  <c r="N626" i="38"/>
  <c r="O626" i="38"/>
  <c r="P626" i="38" s="1"/>
  <c r="H698" i="38"/>
  <c r="L37" i="41"/>
  <c r="N37" i="41"/>
  <c r="N32" i="40"/>
  <c r="L37" i="39"/>
  <c r="P51" i="38" l="1"/>
  <c r="P151" i="38"/>
  <c r="P350" i="38"/>
  <c r="P512" i="38"/>
  <c r="Q512" i="38" s="1"/>
  <c r="P492" i="38"/>
  <c r="P472" i="38"/>
  <c r="Q472" i="38" s="1"/>
  <c r="P458" i="38"/>
  <c r="Q458" i="38" s="1"/>
  <c r="P438" i="38"/>
  <c r="Q438" i="38" s="1"/>
  <c r="P418" i="38"/>
  <c r="Q418" i="38" s="1"/>
  <c r="P398" i="38"/>
  <c r="Q398" i="38" s="1"/>
  <c r="P378" i="38"/>
  <c r="Q378" i="38" s="1"/>
  <c r="P358" i="38"/>
  <c r="Q358" i="38" s="1"/>
  <c r="P315" i="38"/>
  <c r="Q315" i="38" s="1"/>
  <c r="P307" i="38"/>
  <c r="Q307" i="38" s="1"/>
  <c r="P291" i="38"/>
  <c r="Q291" i="38" s="1"/>
  <c r="P241" i="38"/>
  <c r="P134" i="38"/>
  <c r="Q134" i="38" s="1"/>
  <c r="P114" i="38"/>
  <c r="Q114" i="38" s="1"/>
  <c r="P94" i="38"/>
  <c r="Q94" i="38" s="1"/>
  <c r="P74" i="38"/>
  <c r="Q74" i="38" s="1"/>
  <c r="P20" i="38"/>
  <c r="P197" i="38"/>
  <c r="P176" i="38"/>
  <c r="P62" i="38"/>
  <c r="P331" i="38"/>
  <c r="P175" i="38"/>
  <c r="P218" i="38"/>
  <c r="P192" i="38"/>
  <c r="P510" i="38"/>
  <c r="Q510" i="38" s="1"/>
  <c r="P490" i="38"/>
  <c r="Q490" i="38" s="1"/>
  <c r="P470" i="38"/>
  <c r="Q470" i="38" s="1"/>
  <c r="P456" i="38"/>
  <c r="Q456" i="38" s="1"/>
  <c r="P436" i="38"/>
  <c r="Q436" i="38" s="1"/>
  <c r="P416" i="38"/>
  <c r="Q416" i="38" s="1"/>
  <c r="P396" i="38"/>
  <c r="Q396" i="38" s="1"/>
  <c r="P376" i="38"/>
  <c r="Q376" i="38" s="1"/>
  <c r="P356" i="38"/>
  <c r="Q356" i="38" s="1"/>
  <c r="P289" i="38"/>
  <c r="Q289" i="38" s="1"/>
  <c r="P268" i="38"/>
  <c r="P238" i="38"/>
  <c r="P162" i="38"/>
  <c r="P132" i="38"/>
  <c r="P112" i="38"/>
  <c r="Q112" i="38" s="1"/>
  <c r="P92" i="38"/>
  <c r="Q92" i="38" s="1"/>
  <c r="P72" i="38"/>
  <c r="Q72" i="38" s="1"/>
  <c r="P47" i="38"/>
  <c r="Q47" i="38" s="1"/>
  <c r="P18" i="38"/>
  <c r="Q18" i="38" s="1"/>
  <c r="P187" i="38"/>
  <c r="P22" i="38"/>
  <c r="P50" i="38"/>
  <c r="P183" i="38"/>
  <c r="P146" i="38"/>
  <c r="P362" i="38"/>
  <c r="Q362" i="38" s="1"/>
  <c r="P275" i="38"/>
  <c r="P267" i="38"/>
  <c r="P223" i="38"/>
  <c r="Q223" i="38" s="1"/>
  <c r="P98" i="38"/>
  <c r="Q98" i="38" s="1"/>
  <c r="P78" i="38"/>
  <c r="Q78" i="38" s="1"/>
  <c r="P33" i="38"/>
  <c r="Q33" i="38" s="1"/>
  <c r="P52" i="38"/>
  <c r="P220" i="38"/>
  <c r="P204" i="38"/>
  <c r="P59" i="38"/>
  <c r="P240" i="38"/>
  <c r="I699" i="38"/>
  <c r="P217" i="38"/>
  <c r="P336" i="38"/>
  <c r="P455" i="38"/>
  <c r="Q455" i="38" s="1"/>
  <c r="P355" i="38"/>
  <c r="P345" i="38"/>
  <c r="P303" i="38"/>
  <c r="P288" i="38"/>
  <c r="Q288" i="38" s="1"/>
  <c r="P179" i="38"/>
  <c r="Q179" i="38" s="1"/>
  <c r="P256" i="38"/>
  <c r="P149" i="38"/>
  <c r="P60" i="38"/>
  <c r="P11" i="38"/>
  <c r="P337" i="38"/>
  <c r="P216" i="38"/>
  <c r="P388" i="38"/>
  <c r="Q388" i="38" s="1"/>
  <c r="P368" i="38"/>
  <c r="P325" i="38"/>
  <c r="P229" i="38"/>
  <c r="Q229" i="38" s="1"/>
  <c r="P160" i="38"/>
  <c r="P144" i="38"/>
  <c r="Q144" i="38" s="1"/>
  <c r="P104" i="38"/>
  <c r="Q104" i="38" s="1"/>
  <c r="P84" i="38"/>
  <c r="Q84" i="38" s="1"/>
  <c r="P342" i="38"/>
  <c r="P341" i="38"/>
  <c r="P61" i="38"/>
  <c r="P165" i="38"/>
  <c r="P329" i="38"/>
  <c r="J686" i="38"/>
  <c r="P269" i="38"/>
  <c r="P347" i="38"/>
  <c r="P515" i="38"/>
  <c r="Q515" i="38" s="1"/>
  <c r="P495" i="38"/>
  <c r="Q495" i="38" s="1"/>
  <c r="P475" i="38"/>
  <c r="Q475" i="38" s="1"/>
  <c r="P461" i="38"/>
  <c r="Q461" i="38" s="1"/>
  <c r="P441" i="38"/>
  <c r="Q441" i="38" s="1"/>
  <c r="P421" i="38"/>
  <c r="Q421" i="38" s="1"/>
  <c r="P401" i="38"/>
  <c r="P381" i="38"/>
  <c r="P361" i="38"/>
  <c r="Q361" i="38" s="1"/>
  <c r="P354" i="38"/>
  <c r="Q354" i="38" s="1"/>
  <c r="P334" i="38"/>
  <c r="P318" i="38"/>
  <c r="Q318" i="38" s="1"/>
  <c r="P294" i="38"/>
  <c r="Q294" i="38" s="1"/>
  <c r="P259" i="38"/>
  <c r="Q259" i="38" s="1"/>
  <c r="P245" i="38"/>
  <c r="Q245" i="38" s="1"/>
  <c r="P222" i="38"/>
  <c r="Q222" i="38" s="1"/>
  <c r="P198" i="38"/>
  <c r="Q198" i="38" s="1"/>
  <c r="P188" i="38"/>
  <c r="Q188" i="38" s="1"/>
  <c r="P137" i="38"/>
  <c r="Q137" i="38" s="1"/>
  <c r="P117" i="38"/>
  <c r="Q117" i="38" s="1"/>
  <c r="P97" i="38"/>
  <c r="Q97" i="38" s="1"/>
  <c r="P77" i="38"/>
  <c r="Q77" i="38" s="1"/>
  <c r="P54" i="38"/>
  <c r="P32" i="38"/>
  <c r="Q32" i="38" s="1"/>
  <c r="P24" i="38"/>
  <c r="N32" i="39"/>
  <c r="L39" i="39"/>
  <c r="L1298" i="42"/>
  <c r="H1324" i="42"/>
  <c r="G1325" i="42"/>
  <c r="P627" i="38"/>
  <c r="Q627" i="38" s="1"/>
  <c r="N29" i="40"/>
  <c r="P34" i="40"/>
  <c r="Q34" i="40" s="1"/>
  <c r="L11" i="38"/>
  <c r="L686" i="38" s="1"/>
  <c r="L38" i="39"/>
  <c r="I50" i="39" s="1"/>
  <c r="L28" i="40"/>
  <c r="I60" i="40" s="1"/>
  <c r="I44" i="40"/>
  <c r="L13" i="41"/>
  <c r="N45" i="41"/>
  <c r="H60" i="40"/>
  <c r="I45" i="40"/>
  <c r="I65" i="40"/>
  <c r="P35" i="40"/>
  <c r="Q35" i="40" s="1"/>
  <c r="N31" i="40"/>
  <c r="P31" i="40" s="1"/>
  <c r="Q31" i="40" s="1"/>
  <c r="N30" i="40"/>
  <c r="P30" i="40" s="1"/>
  <c r="Q30" i="40" s="1"/>
  <c r="N27" i="40"/>
  <c r="P27" i="40" s="1"/>
  <c r="Q27" i="40" s="1"/>
  <c r="P25" i="40"/>
  <c r="Q25" i="40" s="1"/>
  <c r="P19" i="40"/>
  <c r="Q19" i="40" s="1"/>
  <c r="P15" i="40"/>
  <c r="Q15" i="40" s="1"/>
  <c r="P11" i="40"/>
  <c r="Q11" i="40" s="1"/>
  <c r="P8" i="40"/>
  <c r="Q8" i="40" s="1"/>
  <c r="P36" i="40"/>
  <c r="Q36" i="40" s="1"/>
  <c r="L17" i="41"/>
  <c r="N29" i="41"/>
  <c r="N25" i="41"/>
  <c r="N21" i="41"/>
  <c r="N33" i="41"/>
  <c r="N10" i="41"/>
  <c r="N28" i="41"/>
  <c r="N27" i="41"/>
  <c r="H49" i="39"/>
  <c r="H50" i="39"/>
  <c r="P34" i="39"/>
  <c r="Q34" i="39" s="1"/>
  <c r="P32" i="39"/>
  <c r="Q32" i="39" s="1"/>
  <c r="P29" i="39"/>
  <c r="Q29" i="39" s="1"/>
  <c r="P25" i="39"/>
  <c r="Q25" i="39" s="1"/>
  <c r="P21" i="39"/>
  <c r="Q21" i="39" s="1"/>
  <c r="J39" i="40"/>
  <c r="H55" i="40"/>
  <c r="N23" i="40"/>
  <c r="P23" i="40" s="1"/>
  <c r="Q23" i="40" s="1"/>
  <c r="H125" i="41"/>
  <c r="L36" i="41"/>
  <c r="N11" i="41"/>
  <c r="N12" i="41"/>
  <c r="L7" i="41"/>
  <c r="N44" i="41"/>
  <c r="N43" i="41"/>
  <c r="N42" i="41"/>
  <c r="L35" i="41"/>
  <c r="N26" i="41"/>
  <c r="H126" i="41"/>
  <c r="L116" i="41"/>
  <c r="L115" i="41"/>
  <c r="L114" i="41"/>
  <c r="L113" i="41"/>
  <c r="L112" i="41"/>
  <c r="L111" i="41"/>
  <c r="L110" i="41"/>
  <c r="L109" i="41"/>
  <c r="L108" i="41"/>
  <c r="L107" i="41"/>
  <c r="L106" i="41"/>
  <c r="L105" i="41"/>
  <c r="L104" i="41"/>
  <c r="L103" i="41"/>
  <c r="L102" i="41"/>
  <c r="L101" i="41"/>
  <c r="L100" i="41"/>
  <c r="L99" i="41"/>
  <c r="L98" i="41"/>
  <c r="L97" i="41"/>
  <c r="L96" i="41"/>
  <c r="L95" i="41"/>
  <c r="L94" i="41"/>
  <c r="L93" i="41"/>
  <c r="L92" i="41"/>
  <c r="L91" i="41"/>
  <c r="L90" i="41"/>
  <c r="L89" i="41"/>
  <c r="L88" i="41"/>
  <c r="L87" i="41"/>
  <c r="L86" i="41"/>
  <c r="L85" i="41"/>
  <c r="L84" i="41"/>
  <c r="L83" i="41"/>
  <c r="L82" i="41"/>
  <c r="L81" i="41"/>
  <c r="L80" i="41"/>
  <c r="L79" i="41"/>
  <c r="L78" i="41"/>
  <c r="L77" i="41"/>
  <c r="L76" i="41"/>
  <c r="L75" i="41"/>
  <c r="L74" i="41"/>
  <c r="L73" i="41"/>
  <c r="L72" i="41"/>
  <c r="L71" i="41"/>
  <c r="L70" i="41"/>
  <c r="L69" i="41"/>
  <c r="L68" i="41"/>
  <c r="L67" i="41"/>
  <c r="L66" i="41"/>
  <c r="L65" i="41"/>
  <c r="L64" i="41"/>
  <c r="L63" i="41"/>
  <c r="L62" i="41"/>
  <c r="L61" i="41"/>
  <c r="L52" i="41"/>
  <c r="L51" i="41"/>
  <c r="L50" i="41"/>
  <c r="L49" i="41"/>
  <c r="L48" i="41"/>
  <c r="N20" i="41"/>
  <c r="N19" i="41"/>
  <c r="N18" i="41"/>
  <c r="N335" i="38"/>
  <c r="P335" i="38" s="1"/>
  <c r="Q466" i="38"/>
  <c r="N337" i="38"/>
  <c r="L191" i="38"/>
  <c r="L188" i="38"/>
  <c r="N304" i="38"/>
  <c r="N13" i="38"/>
  <c r="P13" i="38" s="1"/>
  <c r="Q467" i="38"/>
  <c r="L193" i="38"/>
  <c r="L199" i="38"/>
  <c r="L14" i="38"/>
  <c r="N24" i="38"/>
  <c r="L18" i="38"/>
  <c r="Q325" i="38"/>
  <c r="Q321" i="38"/>
  <c r="Q317" i="38"/>
  <c r="N12" i="38"/>
  <c r="N177" i="38"/>
  <c r="P177" i="38" s="1"/>
  <c r="Q16" i="38"/>
  <c r="N11" i="38"/>
  <c r="Q212" i="38"/>
  <c r="Q208" i="38"/>
  <c r="Q205" i="38"/>
  <c r="L200" i="38"/>
  <c r="L349" i="38"/>
  <c r="Q193" i="38"/>
  <c r="L180" i="38"/>
  <c r="L49" i="38"/>
  <c r="Q46" i="38"/>
  <c r="Q43" i="38"/>
  <c r="Q39" i="38"/>
  <c r="Q35" i="38"/>
  <c r="Q31" i="38"/>
  <c r="P8" i="38"/>
  <c r="N343" i="38"/>
  <c r="L173" i="38"/>
  <c r="L312" i="38"/>
  <c r="L334" i="38"/>
  <c r="L221" i="38"/>
  <c r="L181" i="38"/>
  <c r="L237" i="38"/>
  <c r="N267" i="38"/>
  <c r="N269" i="38"/>
  <c r="L311" i="38"/>
  <c r="Q308" i="38"/>
  <c r="L299" i="38"/>
  <c r="Q295" i="38"/>
  <c r="Q287" i="38"/>
  <c r="Q282" i="38"/>
  <c r="Q278" i="38"/>
  <c r="Q254" i="38"/>
  <c r="Q250" i="38"/>
  <c r="Q246" i="38"/>
  <c r="Q213" i="38"/>
  <c r="Q209" i="38"/>
  <c r="Q206" i="38"/>
  <c r="Q200" i="38"/>
  <c r="Q624" i="38"/>
  <c r="L179" i="38"/>
  <c r="L244" i="38"/>
  <c r="L190" i="38"/>
  <c r="N58" i="38"/>
  <c r="P58" i="38" s="1"/>
  <c r="L239" i="38"/>
  <c r="N351" i="38"/>
  <c r="P351" i="38" s="1"/>
  <c r="N236" i="38"/>
  <c r="P236" i="38" s="1"/>
  <c r="Q172" i="38"/>
  <c r="L185" i="38"/>
  <c r="N241" i="38"/>
  <c r="N183" i="38"/>
  <c r="L348" i="38"/>
  <c r="L274" i="38"/>
  <c r="Q271" i="38"/>
  <c r="L257" i="38"/>
  <c r="L172" i="38"/>
  <c r="Q170" i="38"/>
  <c r="N165" i="38"/>
  <c r="Q163" i="38"/>
  <c r="Q145" i="38"/>
  <c r="Q141" i="38"/>
  <c r="Q132" i="38"/>
  <c r="Q128" i="38"/>
  <c r="Q124" i="38"/>
  <c r="Q120" i="38"/>
  <c r="Q116" i="38"/>
  <c r="Q110" i="38"/>
  <c r="Q106" i="38"/>
  <c r="Q103" i="38"/>
  <c r="Q101" i="38"/>
  <c r="Q93" i="38"/>
  <c r="Q87" i="38"/>
  <c r="Q83" i="38"/>
  <c r="Q79" i="38"/>
  <c r="Q75" i="38"/>
  <c r="Q71" i="38"/>
  <c r="Q67" i="38"/>
  <c r="N50" i="38"/>
  <c r="Q44" i="38"/>
  <c r="Q40" i="38"/>
  <c r="Q36" i="38"/>
  <c r="L171" i="38"/>
  <c r="N327" i="38"/>
  <c r="P327" i="38" s="1"/>
  <c r="L203" i="38"/>
  <c r="Q53" i="38"/>
  <c r="N160" i="38"/>
  <c r="N268" i="38"/>
  <c r="N303" i="38"/>
  <c r="Q519" i="38"/>
  <c r="Q511" i="38"/>
  <c r="Q507" i="38"/>
  <c r="Q503" i="38"/>
  <c r="Q499" i="38"/>
  <c r="Q491" i="38"/>
  <c r="Q487" i="38"/>
  <c r="Q483" i="38"/>
  <c r="Q479" i="38"/>
  <c r="Q471" i="38"/>
  <c r="Q465" i="38"/>
  <c r="Q457" i="38"/>
  <c r="Q453" i="38"/>
  <c r="Q449" i="38"/>
  <c r="Q445" i="38"/>
  <c r="Q437" i="38"/>
  <c r="Q433" i="38"/>
  <c r="Q429" i="38"/>
  <c r="Q425" i="38"/>
  <c r="Q417" i="38"/>
  <c r="Q413" i="38"/>
  <c r="Q409" i="38"/>
  <c r="Q405" i="38"/>
  <c r="Q401" i="38"/>
  <c r="Q397" i="38"/>
  <c r="Q393" i="38"/>
  <c r="Q389" i="38"/>
  <c r="Q385" i="38"/>
  <c r="Q381" i="38"/>
  <c r="Q377" i="38"/>
  <c r="Q373" i="38"/>
  <c r="Q369" i="38"/>
  <c r="Q365" i="38"/>
  <c r="N256" i="38"/>
  <c r="Q253" i="38"/>
  <c r="Q249" i="38"/>
  <c r="L198" i="38"/>
  <c r="L184" i="38"/>
  <c r="L53" i="38"/>
  <c r="Q48" i="38"/>
  <c r="Q45" i="38"/>
  <c r="Q41" i="38"/>
  <c r="Q37" i="38"/>
  <c r="L25" i="38"/>
  <c r="N217" i="38"/>
  <c r="L217" i="38"/>
  <c r="Q203" i="38"/>
  <c r="L22" i="38"/>
  <c r="N22" i="38"/>
  <c r="N355" i="38"/>
  <c r="N220" i="38"/>
  <c r="L220" i="38"/>
  <c r="H694" i="38"/>
  <c r="N186" i="38"/>
  <c r="L186" i="38"/>
  <c r="N347" i="38"/>
  <c r="L162" i="38"/>
  <c r="N26" i="38"/>
  <c r="Q523" i="38"/>
  <c r="L344" i="38"/>
  <c r="N344" i="38"/>
  <c r="P344" i="38" s="1"/>
  <c r="N340" i="38"/>
  <c r="N242" i="38"/>
  <c r="P242" i="38" s="1"/>
  <c r="L242" i="38"/>
  <c r="N196" i="38"/>
  <c r="L196" i="38"/>
  <c r="N61" i="38"/>
  <c r="L61" i="38"/>
  <c r="N197" i="38"/>
  <c r="N345" i="38"/>
  <c r="L56" i="38"/>
  <c r="N56" i="38"/>
  <c r="N341" i="38"/>
  <c r="Q524" i="38"/>
  <c r="Q349" i="38"/>
  <c r="L338" i="38"/>
  <c r="L313" i="38"/>
  <c r="N313" i="38"/>
  <c r="Q264" i="38"/>
  <c r="Q260" i="38"/>
  <c r="L202" i="38"/>
  <c r="Q191" i="38"/>
  <c r="L178" i="38"/>
  <c r="N178" i="38"/>
  <c r="L174" i="38"/>
  <c r="Q157" i="38"/>
  <c r="Q153" i="38"/>
  <c r="Q140" i="38"/>
  <c r="Q133" i="38"/>
  <c r="Q131" i="38"/>
  <c r="Q127" i="38"/>
  <c r="Q123" i="38"/>
  <c r="Q119" i="38"/>
  <c r="Q115" i="38"/>
  <c r="Q109" i="38"/>
  <c r="Q102" i="38"/>
  <c r="Q100" i="38"/>
  <c r="Q96" i="38"/>
  <c r="Q86" i="38"/>
  <c r="Q82" i="38"/>
  <c r="Q70" i="38"/>
  <c r="Q66" i="38"/>
  <c r="N62" i="38"/>
  <c r="Q520" i="38"/>
  <c r="Q516" i="38"/>
  <c r="Q508" i="38"/>
  <c r="Q504" i="38"/>
  <c r="Q500" i="38"/>
  <c r="Q496" i="38"/>
  <c r="Q492" i="38"/>
  <c r="Q488" i="38"/>
  <c r="Q484" i="38"/>
  <c r="Q480" i="38"/>
  <c r="Q476" i="38"/>
  <c r="Q468" i="38"/>
  <c r="Q462" i="38"/>
  <c r="Q454" i="38"/>
  <c r="Q450" i="38"/>
  <c r="Q446" i="38"/>
  <c r="Q442" i="38"/>
  <c r="Q434" i="38"/>
  <c r="Q430" i="38"/>
  <c r="Q426" i="38"/>
  <c r="Q422" i="38"/>
  <c r="Q414" i="38"/>
  <c r="Q410" i="38"/>
  <c r="Q406" i="38"/>
  <c r="Q402" i="38"/>
  <c r="Q394" i="38"/>
  <c r="Q390" i="38"/>
  <c r="Q386" i="38"/>
  <c r="Q382" i="38"/>
  <c r="Q374" i="38"/>
  <c r="Q370" i="38"/>
  <c r="Q366" i="38"/>
  <c r="Q357" i="38"/>
  <c r="Q326" i="38"/>
  <c r="Q322" i="38"/>
  <c r="Q314" i="38"/>
  <c r="Q263" i="38"/>
  <c r="Q184" i="38"/>
  <c r="Q156" i="38"/>
  <c r="Q130" i="38"/>
  <c r="Q126" i="38"/>
  <c r="Q122" i="38"/>
  <c r="Q118" i="38"/>
  <c r="Q108" i="38"/>
  <c r="Q105" i="38"/>
  <c r="Q99" i="38"/>
  <c r="Q95" i="38"/>
  <c r="Q91" i="38"/>
  <c r="Q89" i="38"/>
  <c r="Q85" i="38"/>
  <c r="Q81" i="38"/>
  <c r="Q73" i="38"/>
  <c r="Q69" i="38"/>
  <c r="Q65" i="38"/>
  <c r="L342" i="38"/>
  <c r="N342" i="38"/>
  <c r="L240" i="38"/>
  <c r="N240" i="38"/>
  <c r="L215" i="38"/>
  <c r="N215" i="38"/>
  <c r="L300" i="38"/>
  <c r="N300" i="38"/>
  <c r="N330" i="38"/>
  <c r="P330" i="38" s="1"/>
  <c r="L330" i="38"/>
  <c r="N243" i="38"/>
  <c r="P243" i="38" s="1"/>
  <c r="L243" i="38"/>
  <c r="L218" i="38"/>
  <c r="N218" i="38"/>
  <c r="L336" i="38"/>
  <c r="N336" i="38"/>
  <c r="L350" i="38"/>
  <c r="N350" i="38"/>
  <c r="L339" i="38"/>
  <c r="N339" i="38"/>
  <c r="P339" i="38" s="1"/>
  <c r="L275" i="38"/>
  <c r="N275" i="38"/>
  <c r="N204" i="38"/>
  <c r="L204" i="38"/>
  <c r="L201" i="38"/>
  <c r="N201" i="38"/>
  <c r="N189" i="38"/>
  <c r="P189" i="38" s="1"/>
  <c r="N194" i="38"/>
  <c r="N182" i="38"/>
  <c r="Q166" i="38"/>
  <c r="Q57" i="38"/>
  <c r="N195" i="38"/>
  <c r="P195" i="38" s="1"/>
  <c r="L26" i="38"/>
  <c r="N175" i="38"/>
  <c r="N187" i="38"/>
  <c r="N331" i="38"/>
  <c r="Q296" i="38"/>
  <c r="Q292" i="38"/>
  <c r="Q285" i="38"/>
  <c r="Q283" i="38"/>
  <c r="Q279" i="38"/>
  <c r="Q276" i="38"/>
  <c r="Q272" i="38"/>
  <c r="Q234" i="38"/>
  <c r="Q230" i="38"/>
  <c r="Q226" i="38"/>
  <c r="Q202" i="38"/>
  <c r="Q169" i="38"/>
  <c r="L166" i="38"/>
  <c r="Q142" i="38"/>
  <c r="Q138" i="38"/>
  <c r="Q135" i="38"/>
  <c r="N60" i="38"/>
  <c r="L57" i="38"/>
  <c r="N54" i="38"/>
  <c r="N29" i="38"/>
  <c r="Q20" i="38"/>
  <c r="Q15" i="38"/>
  <c r="H692" i="38"/>
  <c r="Q9" i="38"/>
  <c r="H1306" i="42"/>
  <c r="P192" i="42"/>
  <c r="Q192" i="42" s="1"/>
  <c r="P171" i="42"/>
  <c r="Q171" i="42" s="1"/>
  <c r="P167" i="42"/>
  <c r="Q167" i="42" s="1"/>
  <c r="P145" i="42"/>
  <c r="Q145" i="42" s="1"/>
  <c r="P76" i="42"/>
  <c r="Q76" i="42" s="1"/>
  <c r="P72" i="42"/>
  <c r="Q72" i="42" s="1"/>
  <c r="P68" i="42"/>
  <c r="Q68" i="42" s="1"/>
  <c r="P64" i="42"/>
  <c r="Q64" i="42" s="1"/>
  <c r="P60" i="42"/>
  <c r="Q60" i="42" s="1"/>
  <c r="P56" i="42"/>
  <c r="Q56" i="42" s="1"/>
  <c r="H1308" i="42"/>
  <c r="N192" i="38"/>
  <c r="L192" i="38"/>
  <c r="L52" i="38"/>
  <c r="N52" i="38"/>
  <c r="L13" i="39"/>
  <c r="N13" i="39"/>
  <c r="P13" i="39" s="1"/>
  <c r="Q13" i="39" s="1"/>
  <c r="J118" i="41"/>
  <c r="N59" i="38"/>
  <c r="L59" i="38"/>
  <c r="H696" i="38"/>
  <c r="L41" i="41"/>
  <c r="H695" i="38"/>
  <c r="L354" i="38"/>
  <c r="Q346" i="38"/>
  <c r="Q334" i="38"/>
  <c r="N332" i="38"/>
  <c r="P332" i="38" s="1"/>
  <c r="N328" i="38"/>
  <c r="P328" i="38" s="1"/>
  <c r="Q311" i="38"/>
  <c r="Q310" i="38"/>
  <c r="N306" i="38"/>
  <c r="N305" i="38"/>
  <c r="P305" i="38" s="1"/>
  <c r="N301" i="38"/>
  <c r="Q266" i="38"/>
  <c r="Q262" i="38"/>
  <c r="Q258" i="38"/>
  <c r="Q252" i="38"/>
  <c r="Q248" i="38"/>
  <c r="Q244" i="38"/>
  <c r="Q233" i="38"/>
  <c r="Q225" i="38"/>
  <c r="Q221" i="38"/>
  <c r="L167" i="38"/>
  <c r="N167" i="38"/>
  <c r="P167" i="38" s="1"/>
  <c r="L164" i="38"/>
  <c r="L161" i="38"/>
  <c r="Q159" i="38"/>
  <c r="Q155" i="38"/>
  <c r="L151" i="38"/>
  <c r="N151" i="38"/>
  <c r="L149" i="38"/>
  <c r="N149" i="38"/>
  <c r="L147" i="38"/>
  <c r="N147" i="38"/>
  <c r="N63" i="38"/>
  <c r="L63" i="38"/>
  <c r="L17" i="39"/>
  <c r="N17" i="39"/>
  <c r="P17" i="39" s="1"/>
  <c r="Q17" i="39" s="1"/>
  <c r="L15" i="39"/>
  <c r="N15" i="39"/>
  <c r="P15" i="39" s="1"/>
  <c r="Q15" i="39" s="1"/>
  <c r="L9" i="39"/>
  <c r="J41" i="39"/>
  <c r="H48" i="39"/>
  <c r="L46" i="41"/>
  <c r="N46" i="41"/>
  <c r="L39" i="41"/>
  <c r="N39" i="41"/>
  <c r="L32" i="41"/>
  <c r="N32" i="41"/>
  <c r="L30" i="41"/>
  <c r="N30" i="41"/>
  <c r="L23" i="41"/>
  <c r="N23" i="41"/>
  <c r="L16" i="41"/>
  <c r="N16" i="41"/>
  <c r="L14" i="41"/>
  <c r="N14" i="41"/>
  <c r="H124" i="41"/>
  <c r="N333" i="38"/>
  <c r="H697" i="38"/>
  <c r="I698" i="38"/>
  <c r="N216" i="38"/>
  <c r="L216" i="38"/>
  <c r="Q181" i="38"/>
  <c r="N28" i="38"/>
  <c r="P28" i="38" s="1"/>
  <c r="L28" i="38"/>
  <c r="P29" i="40"/>
  <c r="Q29" i="40" s="1"/>
  <c r="L310" i="38"/>
  <c r="L9" i="41"/>
  <c r="N329" i="38"/>
  <c r="N353" i="38"/>
  <c r="P353" i="38" s="1"/>
  <c r="Q626" i="38"/>
  <c r="Q522" i="38"/>
  <c r="Q518" i="38"/>
  <c r="Q514" i="38"/>
  <c r="Q506" i="38"/>
  <c r="Q502" i="38"/>
  <c r="Q498" i="38"/>
  <c r="Q494" i="38"/>
  <c r="Q486" i="38"/>
  <c r="Q482" i="38"/>
  <c r="Q478" i="38"/>
  <c r="Q474" i="38"/>
  <c r="Q464" i="38"/>
  <c r="Q460" i="38"/>
  <c r="Q452" i="38"/>
  <c r="Q448" i="38"/>
  <c r="Q444" i="38"/>
  <c r="Q440" i="38"/>
  <c r="Q432" i="38"/>
  <c r="Q428" i="38"/>
  <c r="Q424" i="38"/>
  <c r="Q420" i="38"/>
  <c r="Q412" i="38"/>
  <c r="Q408" i="38"/>
  <c r="Q404" i="38"/>
  <c r="Q400" i="38"/>
  <c r="Q392" i="38"/>
  <c r="Q384" i="38"/>
  <c r="Q380" i="38"/>
  <c r="Q372" i="38"/>
  <c r="Q368" i="38"/>
  <c r="Q364" i="38"/>
  <c r="Q360" i="38"/>
  <c r="Q359" i="38"/>
  <c r="N352" i="38"/>
  <c r="L346" i="38"/>
  <c r="Q338" i="38"/>
  <c r="Q324" i="38"/>
  <c r="Q320" i="38"/>
  <c r="Q316" i="38"/>
  <c r="Q312" i="38"/>
  <c r="N302" i="38"/>
  <c r="P302" i="38" s="1"/>
  <c r="Q299" i="38"/>
  <c r="Q290" i="38"/>
  <c r="Q286" i="38"/>
  <c r="Q284" i="38"/>
  <c r="Q281" i="38"/>
  <c r="Q277" i="38"/>
  <c r="Q274" i="38"/>
  <c r="Q270" i="38"/>
  <c r="L238" i="38"/>
  <c r="N238" i="38"/>
  <c r="N176" i="38"/>
  <c r="L176" i="38"/>
  <c r="Q171" i="38"/>
  <c r="L168" i="38"/>
  <c r="Q162" i="38"/>
  <c r="Q185" i="38"/>
  <c r="N152" i="38"/>
  <c r="P152" i="38" s="1"/>
  <c r="L152" i="38"/>
  <c r="N150" i="38"/>
  <c r="P150" i="38" s="1"/>
  <c r="L150" i="38"/>
  <c r="N148" i="38"/>
  <c r="P148" i="38" s="1"/>
  <c r="L148" i="38"/>
  <c r="N146" i="38"/>
  <c r="L146" i="38"/>
  <c r="N51" i="38"/>
  <c r="L51" i="38"/>
  <c r="L17" i="38"/>
  <c r="N17" i="38"/>
  <c r="P17" i="38" s="1"/>
  <c r="Q625" i="38"/>
  <c r="Q521" i="38"/>
  <c r="Q517" i="38"/>
  <c r="Q513" i="38"/>
  <c r="Q509" i="38"/>
  <c r="Q505" i="38"/>
  <c r="Q501" i="38"/>
  <c r="Q497" i="38"/>
  <c r="Q493" i="38"/>
  <c r="Q489" i="38"/>
  <c r="Q485" i="38"/>
  <c r="Q481" i="38"/>
  <c r="Q477" i="38"/>
  <c r="Q473" i="38"/>
  <c r="Q469" i="38"/>
  <c r="Q463" i="38"/>
  <c r="Q459" i="38"/>
  <c r="Q451" i="38"/>
  <c r="Q447" i="38"/>
  <c r="Q443" i="38"/>
  <c r="Q439" i="38"/>
  <c r="Q435" i="38"/>
  <c r="Q431" i="38"/>
  <c r="Q427" i="38"/>
  <c r="Q423" i="38"/>
  <c r="Q419" i="38"/>
  <c r="Q415" i="38"/>
  <c r="Q411" i="38"/>
  <c r="Q407" i="38"/>
  <c r="Q403" i="38"/>
  <c r="Q399" i="38"/>
  <c r="Q395" i="38"/>
  <c r="Q391" i="38"/>
  <c r="Q387" i="38"/>
  <c r="Q383" i="38"/>
  <c r="Q379" i="38"/>
  <c r="Q375" i="38"/>
  <c r="Q371" i="38"/>
  <c r="Q367" i="38"/>
  <c r="Q363" i="38"/>
  <c r="Q348" i="38"/>
  <c r="Q323" i="38"/>
  <c r="Q319" i="38"/>
  <c r="Q309" i="38"/>
  <c r="Q298" i="38"/>
  <c r="Q297" i="38"/>
  <c r="Q293" i="38"/>
  <c r="Q280" i="38"/>
  <c r="Q273" i="38"/>
  <c r="Q265" i="38"/>
  <c r="Q261" i="38"/>
  <c r="Q257" i="38"/>
  <c r="Q255" i="38"/>
  <c r="Q251" i="38"/>
  <c r="Q247" i="38"/>
  <c r="Q239" i="38"/>
  <c r="Q232" i="38"/>
  <c r="Q228" i="38"/>
  <c r="Q224" i="38"/>
  <c r="Q211" i="38"/>
  <c r="Q199" i="38"/>
  <c r="Q190" i="38"/>
  <c r="Q180" i="38"/>
  <c r="Q174" i="38"/>
  <c r="Q173" i="38"/>
  <c r="Q168" i="38"/>
  <c r="Q164" i="38"/>
  <c r="Q161" i="38"/>
  <c r="N55" i="38"/>
  <c r="L55" i="38"/>
  <c r="L18" i="39"/>
  <c r="N18" i="39"/>
  <c r="P18" i="39" s="1"/>
  <c r="Q18" i="39" s="1"/>
  <c r="L16" i="39"/>
  <c r="N16" i="39"/>
  <c r="P16" i="39" s="1"/>
  <c r="Q16" i="39" s="1"/>
  <c r="L14" i="39"/>
  <c r="N14" i="39"/>
  <c r="P14" i="39" s="1"/>
  <c r="Q14" i="39" s="1"/>
  <c r="L40" i="41"/>
  <c r="N40" i="41"/>
  <c r="L38" i="41"/>
  <c r="N38" i="41"/>
  <c r="L31" i="41"/>
  <c r="N31" i="41"/>
  <c r="L24" i="41"/>
  <c r="N24" i="41"/>
  <c r="L22" i="41"/>
  <c r="N22" i="41"/>
  <c r="L15" i="41"/>
  <c r="N15" i="41"/>
  <c r="L8" i="41"/>
  <c r="N8" i="41"/>
  <c r="Q237" i="38"/>
  <c r="Q235" i="38"/>
  <c r="Q231" i="38"/>
  <c r="Q227" i="38"/>
  <c r="Q219" i="38"/>
  <c r="Q214" i="38"/>
  <c r="Q210" i="38"/>
  <c r="Q207" i="38"/>
  <c r="Q158" i="38"/>
  <c r="Q154" i="38"/>
  <c r="Q143" i="38"/>
  <c r="Q139" i="38"/>
  <c r="Q136" i="38"/>
  <c r="Q129" i="38"/>
  <c r="Q125" i="38"/>
  <c r="Q121" i="38"/>
  <c r="Q113" i="38"/>
  <c r="Q111" i="38"/>
  <c r="Q107" i="38"/>
  <c r="Q90" i="38"/>
  <c r="Q88" i="38"/>
  <c r="Q80" i="38"/>
  <c r="Q76" i="38"/>
  <c r="Q68" i="38"/>
  <c r="Q64" i="38"/>
  <c r="L23" i="38"/>
  <c r="N23" i="38"/>
  <c r="Q19" i="38"/>
  <c r="I55" i="40"/>
  <c r="I48" i="40"/>
  <c r="Q49" i="38"/>
  <c r="Q27" i="38"/>
  <c r="P32" i="40"/>
  <c r="Q32" i="40" s="1"/>
  <c r="P28" i="40"/>
  <c r="Q28" i="40" s="1"/>
  <c r="P20" i="40"/>
  <c r="Q20" i="40" s="1"/>
  <c r="P16" i="40"/>
  <c r="Q16" i="40" s="1"/>
  <c r="P12" i="40"/>
  <c r="Q12" i="40" s="1"/>
  <c r="P9" i="40"/>
  <c r="Q9" i="40" s="1"/>
  <c r="P36" i="39"/>
  <c r="Q36" i="39" s="1"/>
  <c r="N35" i="39"/>
  <c r="P35" i="39" s="1"/>
  <c r="Q35" i="39" s="1"/>
  <c r="L34" i="39"/>
  <c r="I49" i="39" s="1"/>
  <c r="N33" i="39"/>
  <c r="P33" i="39" s="1"/>
  <c r="Q33" i="39" s="1"/>
  <c r="P30" i="39"/>
  <c r="Q30" i="39" s="1"/>
  <c r="P26" i="39"/>
  <c r="Q26" i="39" s="1"/>
  <c r="P22" i="39"/>
  <c r="Q22" i="39" s="1"/>
  <c r="P12" i="39"/>
  <c r="Q12" i="39" s="1"/>
  <c r="P11" i="39"/>
  <c r="Q11" i="39" s="1"/>
  <c r="P10" i="39"/>
  <c r="Q10" i="39" s="1"/>
  <c r="P8" i="39"/>
  <c r="Q8" i="39" s="1"/>
  <c r="P7" i="39"/>
  <c r="Q7" i="39" s="1"/>
  <c r="Q42" i="38"/>
  <c r="Q38" i="38"/>
  <c r="Q34" i="38"/>
  <c r="Q30" i="38"/>
  <c r="Q25" i="38"/>
  <c r="Q21" i="38"/>
  <c r="Q14" i="38"/>
  <c r="Q10" i="38"/>
  <c r="P37" i="40"/>
  <c r="Q37" i="40" s="1"/>
  <c r="P33" i="40"/>
  <c r="Q33" i="40" s="1"/>
  <c r="P17" i="40"/>
  <c r="Q17" i="40" s="1"/>
  <c r="P13" i="40"/>
  <c r="Q13" i="40" s="1"/>
  <c r="P39" i="39"/>
  <c r="Q39" i="39" s="1"/>
  <c r="P38" i="39"/>
  <c r="Q38" i="39" s="1"/>
  <c r="P37" i="39"/>
  <c r="Q37" i="39" s="1"/>
  <c r="P31" i="39"/>
  <c r="Q31" i="39" s="1"/>
  <c r="P27" i="39"/>
  <c r="Q27" i="39" s="1"/>
  <c r="P23" i="39"/>
  <c r="Q23" i="39" s="1"/>
  <c r="P19" i="39"/>
  <c r="Q19" i="39" s="1"/>
  <c r="P26" i="40"/>
  <c r="Q26" i="40" s="1"/>
  <c r="P24" i="40"/>
  <c r="Q24" i="40" s="1"/>
  <c r="P22" i="40"/>
  <c r="Q22" i="40" s="1"/>
  <c r="P21" i="40"/>
  <c r="Q21" i="40" s="1"/>
  <c r="P18" i="40"/>
  <c r="Q18" i="40" s="1"/>
  <c r="P14" i="40"/>
  <c r="Q14" i="40" s="1"/>
  <c r="P10" i="40"/>
  <c r="Q10" i="40" s="1"/>
  <c r="P7" i="40"/>
  <c r="Q7" i="40" s="1"/>
  <c r="P28" i="39"/>
  <c r="Q28" i="39" s="1"/>
  <c r="P24" i="39"/>
  <c r="Q24" i="39" s="1"/>
  <c r="P20" i="39"/>
  <c r="Q20" i="39" s="1"/>
  <c r="P1028" i="42"/>
  <c r="Q1028" i="42" s="1"/>
  <c r="P1016" i="42"/>
  <c r="Q1016" i="42" s="1"/>
  <c r="P1012" i="42"/>
  <c r="Q1012" i="42" s="1"/>
  <c r="P493" i="42"/>
  <c r="Q493" i="42" s="1"/>
  <c r="P489" i="42"/>
  <c r="Q489" i="42" s="1"/>
  <c r="P485" i="42"/>
  <c r="Q485" i="42" s="1"/>
  <c r="P432" i="42"/>
  <c r="Q432" i="42" s="1"/>
  <c r="P428" i="42"/>
  <c r="Q428" i="42" s="1"/>
  <c r="P402" i="42"/>
  <c r="Q402" i="42" s="1"/>
  <c r="P396" i="42"/>
  <c r="Q396" i="42" s="1"/>
  <c r="P393" i="42"/>
  <c r="Q393" i="42" s="1"/>
  <c r="P387" i="42"/>
  <c r="Q387" i="42" s="1"/>
  <c r="P383" i="42"/>
  <c r="Q383" i="42" s="1"/>
  <c r="P19" i="42"/>
  <c r="Q19" i="42" s="1"/>
  <c r="P8" i="42"/>
  <c r="Q8" i="42" s="1"/>
  <c r="P184" i="42"/>
  <c r="Q184" i="42" s="1"/>
  <c r="H1321" i="42"/>
  <c r="P957" i="42"/>
  <c r="Q957" i="42" s="1"/>
  <c r="P953" i="42"/>
  <c r="Q953" i="42" s="1"/>
  <c r="P949" i="42"/>
  <c r="Q949" i="42" s="1"/>
  <c r="P945" i="42"/>
  <c r="Q945" i="42" s="1"/>
  <c r="P941" i="42"/>
  <c r="Q941" i="42" s="1"/>
  <c r="P937" i="42"/>
  <c r="Q937" i="42" s="1"/>
  <c r="P901" i="42"/>
  <c r="Q901" i="42" s="1"/>
  <c r="P680" i="42"/>
  <c r="Q680" i="42" s="1"/>
  <c r="P166" i="42"/>
  <c r="Q166" i="42" s="1"/>
  <c r="P55" i="42"/>
  <c r="Q55" i="42" s="1"/>
  <c r="P51" i="42"/>
  <c r="Q51" i="42" s="1"/>
  <c r="P591" i="42"/>
  <c r="Q591" i="42" s="1"/>
  <c r="P580" i="42"/>
  <c r="Q580" i="42" s="1"/>
  <c r="P27" i="42"/>
  <c r="Q27" i="42" s="1"/>
  <c r="P18" i="42"/>
  <c r="Q18" i="42" s="1"/>
  <c r="P14" i="42"/>
  <c r="Q14" i="42" s="1"/>
  <c r="P1011" i="42"/>
  <c r="Q1011" i="42" s="1"/>
  <c r="P581" i="42"/>
  <c r="Q581" i="42" s="1"/>
  <c r="P364" i="42"/>
  <c r="Q364" i="42" s="1"/>
  <c r="P360" i="42"/>
  <c r="Q360" i="42" s="1"/>
  <c r="P353" i="42"/>
  <c r="Q353" i="42" s="1"/>
  <c r="P343" i="42"/>
  <c r="Q343" i="42" s="1"/>
  <c r="P339" i="42"/>
  <c r="Q339" i="42" s="1"/>
  <c r="P327" i="42"/>
  <c r="Q327" i="42" s="1"/>
  <c r="P323" i="42"/>
  <c r="Q323" i="42" s="1"/>
  <c r="P315" i="42"/>
  <c r="Q315" i="42" s="1"/>
  <c r="P308" i="42"/>
  <c r="Q308" i="42" s="1"/>
  <c r="P300" i="42"/>
  <c r="Q300" i="42" s="1"/>
  <c r="P296" i="42"/>
  <c r="Q296" i="42" s="1"/>
  <c r="P288" i="42"/>
  <c r="Q288" i="42" s="1"/>
  <c r="P264" i="42"/>
  <c r="Q264" i="42" s="1"/>
  <c r="P260" i="42"/>
  <c r="Q260" i="42" s="1"/>
  <c r="P256" i="42"/>
  <c r="Q256" i="42" s="1"/>
  <c r="H1318" i="42"/>
  <c r="H1310" i="42"/>
  <c r="H1307" i="42"/>
  <c r="P565" i="42"/>
  <c r="Q565" i="42" s="1"/>
  <c r="P512" i="42"/>
  <c r="Q512" i="42" s="1"/>
  <c r="P496" i="42"/>
  <c r="Q496" i="42" s="1"/>
  <c r="H1313" i="42"/>
  <c r="H1312" i="42"/>
  <c r="H1311" i="42"/>
  <c r="H1309" i="42"/>
  <c r="P1000" i="42"/>
  <c r="Q1000" i="42" s="1"/>
  <c r="H1319" i="42"/>
  <c r="P560" i="42"/>
  <c r="Q560" i="42" s="1"/>
  <c r="P542" i="42"/>
  <c r="Q542" i="42" s="1"/>
  <c r="P538" i="42"/>
  <c r="Q538" i="42" s="1"/>
  <c r="P530" i="42"/>
  <c r="Q530" i="42" s="1"/>
  <c r="P511" i="42"/>
  <c r="Q511" i="42" s="1"/>
  <c r="P238" i="42"/>
  <c r="Q238" i="42" s="1"/>
  <c r="P234" i="42"/>
  <c r="Q234" i="42" s="1"/>
  <c r="P213" i="42"/>
  <c r="Q213" i="42" s="1"/>
  <c r="P197" i="42"/>
  <c r="Q197" i="42" s="1"/>
  <c r="P187" i="42"/>
  <c r="Q187" i="42" s="1"/>
  <c r="P177" i="42"/>
  <c r="Q177" i="42" s="1"/>
  <c r="P126" i="42"/>
  <c r="Q126" i="42" s="1"/>
  <c r="P122" i="42"/>
  <c r="Q122" i="42" s="1"/>
  <c r="P114" i="42"/>
  <c r="Q114" i="42" s="1"/>
  <c r="P110" i="42"/>
  <c r="Q110" i="42" s="1"/>
  <c r="P98" i="42"/>
  <c r="Q98" i="42" s="1"/>
  <c r="P94" i="42"/>
  <c r="Q94" i="42" s="1"/>
  <c r="P33" i="42"/>
  <c r="Q33" i="42" s="1"/>
  <c r="P29" i="42"/>
  <c r="Q29" i="42" s="1"/>
  <c r="P1039" i="42"/>
  <c r="Q1039" i="42" s="1"/>
  <c r="P1023" i="42"/>
  <c r="Q1023" i="42" s="1"/>
  <c r="P1010" i="42"/>
  <c r="Q1010" i="42" s="1"/>
  <c r="P1006" i="42"/>
  <c r="Q1006" i="42" s="1"/>
  <c r="P1002" i="42"/>
  <c r="Q1002" i="42" s="1"/>
  <c r="P994" i="42"/>
  <c r="Q994" i="42" s="1"/>
  <c r="P962" i="42"/>
  <c r="Q962" i="42" s="1"/>
  <c r="P958" i="42"/>
  <c r="Q958" i="42" s="1"/>
  <c r="P954" i="42"/>
  <c r="Q954" i="42" s="1"/>
  <c r="P906" i="42"/>
  <c r="Q906" i="42" s="1"/>
  <c r="P870" i="42"/>
  <c r="Q870" i="42" s="1"/>
  <c r="H1322" i="42"/>
  <c r="P822" i="42"/>
  <c r="Q822" i="42" s="1"/>
  <c r="P810" i="42"/>
  <c r="Q810" i="42" s="1"/>
  <c r="P794" i="42"/>
  <c r="Q794" i="42" s="1"/>
  <c r="P790" i="42"/>
  <c r="Q790" i="42" s="1"/>
  <c r="P770" i="42"/>
  <c r="Q770" i="42" s="1"/>
  <c r="P766" i="42"/>
  <c r="Q766" i="42" s="1"/>
  <c r="P730" i="42"/>
  <c r="Q730" i="42" s="1"/>
  <c r="P726" i="42"/>
  <c r="Q726" i="42" s="1"/>
  <c r="P719" i="42"/>
  <c r="Q719" i="42" s="1"/>
  <c r="P711" i="42"/>
  <c r="Q711" i="42" s="1"/>
  <c r="P637" i="42"/>
  <c r="Q637" i="42" s="1"/>
  <c r="P506" i="42"/>
  <c r="Q506" i="42" s="1"/>
  <c r="P502" i="42"/>
  <c r="Q502" i="42" s="1"/>
  <c r="P482" i="42"/>
  <c r="Q482" i="42" s="1"/>
  <c r="P478" i="42"/>
  <c r="Q478" i="42" s="1"/>
  <c r="P380" i="42"/>
  <c r="Q380" i="42" s="1"/>
  <c r="P379" i="42"/>
  <c r="Q379" i="42" s="1"/>
  <c r="P377" i="42"/>
  <c r="Q377" i="42" s="1"/>
  <c r="P374" i="42"/>
  <c r="Q374" i="42" s="1"/>
  <c r="P370" i="42"/>
  <c r="Q370" i="42" s="1"/>
  <c r="P368" i="42"/>
  <c r="Q368" i="42" s="1"/>
  <c r="P365" i="42"/>
  <c r="Q365" i="42" s="1"/>
  <c r="P361" i="42"/>
  <c r="Q361" i="42" s="1"/>
  <c r="P331" i="42"/>
  <c r="Q331" i="42" s="1"/>
  <c r="P301" i="42"/>
  <c r="Q301" i="42" s="1"/>
  <c r="P297" i="42"/>
  <c r="Q297" i="42" s="1"/>
  <c r="P293" i="42"/>
  <c r="Q293" i="42" s="1"/>
  <c r="P285" i="42"/>
  <c r="Q285" i="42" s="1"/>
  <c r="P247" i="42"/>
  <c r="Q247" i="42" s="1"/>
  <c r="P243" i="42"/>
  <c r="Q243" i="42" s="1"/>
  <c r="P194" i="42"/>
  <c r="Q194" i="42" s="1"/>
  <c r="P117" i="42"/>
  <c r="Q117" i="42" s="1"/>
  <c r="P105" i="42"/>
  <c r="Q105" i="42" s="1"/>
  <c r="P101" i="42"/>
  <c r="Q101" i="42" s="1"/>
  <c r="P97" i="42"/>
  <c r="Q97" i="42" s="1"/>
  <c r="P93" i="42"/>
  <c r="Q93" i="42" s="1"/>
  <c r="P89" i="42"/>
  <c r="Q89" i="42" s="1"/>
  <c r="P65" i="42"/>
  <c r="Q65" i="42" s="1"/>
  <c r="P61" i="42"/>
  <c r="Q61" i="42" s="1"/>
  <c r="P57" i="42"/>
  <c r="Q57" i="42" s="1"/>
  <c r="P32" i="42"/>
  <c r="Q32" i="42" s="1"/>
  <c r="P26" i="42"/>
  <c r="Q26" i="42" s="1"/>
  <c r="P963" i="42"/>
  <c r="Q963" i="42" s="1"/>
  <c r="P959" i="42"/>
  <c r="Q959" i="42" s="1"/>
  <c r="P947" i="42"/>
  <c r="Q947" i="42" s="1"/>
  <c r="P936" i="42"/>
  <c r="Q936" i="42" s="1"/>
  <c r="P871" i="42"/>
  <c r="Q871" i="42" s="1"/>
  <c r="P852" i="42"/>
  <c r="Q852" i="42" s="1"/>
  <c r="P848" i="42"/>
  <c r="Q848" i="42" s="1"/>
  <c r="P844" i="42"/>
  <c r="Q844" i="42" s="1"/>
  <c r="P840" i="42"/>
  <c r="Q840" i="42" s="1"/>
  <c r="P828" i="42"/>
  <c r="Q828" i="42" s="1"/>
  <c r="P824" i="42"/>
  <c r="Q824" i="42" s="1"/>
  <c r="P811" i="42"/>
  <c r="Q811" i="42" s="1"/>
  <c r="P585" i="42"/>
  <c r="Q585" i="42" s="1"/>
  <c r="P582" i="42"/>
  <c r="Q582" i="42" s="1"/>
  <c r="P557" i="42"/>
  <c r="Q557" i="42" s="1"/>
  <c r="P551" i="42"/>
  <c r="Q551" i="42" s="1"/>
  <c r="P547" i="42"/>
  <c r="Q547" i="42" s="1"/>
  <c r="P520" i="42"/>
  <c r="Q520" i="42" s="1"/>
  <c r="P516" i="42"/>
  <c r="Q516" i="42" s="1"/>
  <c r="P507" i="42"/>
  <c r="Q507" i="42" s="1"/>
  <c r="P252" i="42"/>
  <c r="Q252" i="42" s="1"/>
  <c r="P230" i="42"/>
  <c r="Q230" i="42" s="1"/>
  <c r="P226" i="42"/>
  <c r="Q226" i="42" s="1"/>
  <c r="P224" i="42"/>
  <c r="Q224" i="42" s="1"/>
  <c r="P220" i="42"/>
  <c r="Q220" i="42" s="1"/>
  <c r="P216" i="42"/>
  <c r="Q216" i="42" s="1"/>
  <c r="P200" i="42"/>
  <c r="Q200" i="42" s="1"/>
  <c r="H1323" i="42"/>
  <c r="H1316" i="42"/>
  <c r="H1315" i="42"/>
  <c r="H1314" i="42"/>
  <c r="P889" i="42"/>
  <c r="Q889" i="42" s="1"/>
  <c r="P885" i="42"/>
  <c r="Q885" i="42" s="1"/>
  <c r="P881" i="42"/>
  <c r="Q881" i="42" s="1"/>
  <c r="P877" i="42"/>
  <c r="Q877" i="42" s="1"/>
  <c r="P857" i="42"/>
  <c r="Q857" i="42" s="1"/>
  <c r="P805" i="42"/>
  <c r="Q805" i="42" s="1"/>
  <c r="P800" i="42"/>
  <c r="Q800" i="42" s="1"/>
  <c r="H1320" i="42"/>
  <c r="P781" i="42"/>
  <c r="Q781" i="42" s="1"/>
  <c r="P777" i="42"/>
  <c r="Q777" i="42" s="1"/>
  <c r="P773" i="42"/>
  <c r="Q773" i="42" s="1"/>
  <c r="P761" i="42"/>
  <c r="Q761" i="42" s="1"/>
  <c r="P757" i="42"/>
  <c r="Q757" i="42" s="1"/>
  <c r="P753" i="42"/>
  <c r="Q753" i="42" s="1"/>
  <c r="P190" i="42"/>
  <c r="Q190" i="42" s="1"/>
  <c r="P119" i="42"/>
  <c r="Q119" i="42" s="1"/>
  <c r="P108" i="42"/>
  <c r="Q108" i="42" s="1"/>
  <c r="P999" i="42"/>
  <c r="Q999" i="42" s="1"/>
  <c r="P979" i="42"/>
  <c r="Q979" i="42" s="1"/>
  <c r="P975" i="42"/>
  <c r="Q975" i="42" s="1"/>
  <c r="P694" i="42"/>
  <c r="Q694" i="42" s="1"/>
  <c r="P692" i="42"/>
  <c r="Q692" i="42" s="1"/>
  <c r="P690" i="42"/>
  <c r="Q690" i="42" s="1"/>
  <c r="P665" i="42"/>
  <c r="Q665" i="42" s="1"/>
  <c r="P644" i="42"/>
  <c r="Q644" i="42" s="1"/>
  <c r="P641" i="42"/>
  <c r="Q641" i="42" s="1"/>
  <c r="P636" i="42"/>
  <c r="Q636" i="42" s="1"/>
  <c r="P632" i="42"/>
  <c r="Q632" i="42" s="1"/>
  <c r="P629" i="42"/>
  <c r="Q629" i="42" s="1"/>
  <c r="P610" i="42"/>
  <c r="Q610" i="42" s="1"/>
  <c r="P606" i="42"/>
  <c r="Q606" i="42" s="1"/>
  <c r="P602" i="42"/>
  <c r="Q602" i="42" s="1"/>
  <c r="P590" i="42"/>
  <c r="Q590" i="42" s="1"/>
  <c r="P586" i="42"/>
  <c r="Q586" i="42" s="1"/>
  <c r="P579" i="42"/>
  <c r="Q579" i="42" s="1"/>
  <c r="P575" i="42"/>
  <c r="Q575" i="42" s="1"/>
  <c r="P571" i="42"/>
  <c r="Q571" i="42" s="1"/>
  <c r="P562" i="42"/>
  <c r="Q562" i="42" s="1"/>
  <c r="P558" i="42"/>
  <c r="Q558" i="42" s="1"/>
  <c r="P540" i="42"/>
  <c r="Q540" i="42" s="1"/>
  <c r="P536" i="42"/>
  <c r="Q536" i="42" s="1"/>
  <c r="P532" i="42"/>
  <c r="Q532" i="42" s="1"/>
  <c r="P528" i="42"/>
  <c r="Q528" i="42" s="1"/>
  <c r="P495" i="42"/>
  <c r="Q495" i="42" s="1"/>
  <c r="P491" i="42"/>
  <c r="Q491" i="42" s="1"/>
  <c r="P487" i="42"/>
  <c r="Q487" i="42" s="1"/>
  <c r="P461" i="42"/>
  <c r="Q461" i="42" s="1"/>
  <c r="P453" i="42"/>
  <c r="Q453" i="42" s="1"/>
  <c r="P449" i="42"/>
  <c r="Q449" i="42" s="1"/>
  <c r="P443" i="42"/>
  <c r="Q443" i="42" s="1"/>
  <c r="P426" i="42"/>
  <c r="Q426" i="42" s="1"/>
  <c r="P421" i="42"/>
  <c r="Q421" i="42" s="1"/>
  <c r="P217" i="42"/>
  <c r="Q217" i="42" s="1"/>
  <c r="P10" i="42"/>
  <c r="Q10" i="42" s="1"/>
  <c r="P948" i="42"/>
  <c r="Q948" i="42" s="1"/>
  <c r="P944" i="42"/>
  <c r="Q944" i="42" s="1"/>
  <c r="P940" i="42"/>
  <c r="Q940" i="42" s="1"/>
  <c r="P935" i="42"/>
  <c r="Q935" i="42" s="1"/>
  <c r="P927" i="42"/>
  <c r="Q927" i="42" s="1"/>
  <c r="P923" i="42"/>
  <c r="Q923" i="42" s="1"/>
  <c r="P803" i="42"/>
  <c r="Q803" i="42" s="1"/>
  <c r="P799" i="42"/>
  <c r="Q799" i="42" s="1"/>
  <c r="P795" i="42"/>
  <c r="Q795" i="42" s="1"/>
  <c r="P751" i="42"/>
  <c r="Q751" i="42" s="1"/>
  <c r="P739" i="42"/>
  <c r="Q739" i="42" s="1"/>
  <c r="P735" i="42"/>
  <c r="Q735" i="42" s="1"/>
  <c r="P731" i="42"/>
  <c r="Q731" i="42" s="1"/>
  <c r="P716" i="42"/>
  <c r="Q716" i="42" s="1"/>
  <c r="P712" i="42"/>
  <c r="Q712" i="42" s="1"/>
  <c r="P662" i="42"/>
  <c r="Q662" i="42" s="1"/>
  <c r="P659" i="42"/>
  <c r="Q659" i="42" s="1"/>
  <c r="P595" i="42"/>
  <c r="Q595" i="42" s="1"/>
  <c r="P465" i="42"/>
  <c r="Q465" i="42" s="1"/>
  <c r="P454" i="42"/>
  <c r="Q454" i="42" s="1"/>
  <c r="P427" i="42"/>
  <c r="Q427" i="42" s="1"/>
  <c r="P416" i="42"/>
  <c r="Q416" i="42" s="1"/>
  <c r="P412" i="42"/>
  <c r="Q412" i="42" s="1"/>
  <c r="P406" i="42"/>
  <c r="Q406" i="42" s="1"/>
  <c r="P401" i="42"/>
  <c r="Q401" i="42" s="1"/>
  <c r="P398" i="42"/>
  <c r="Q398" i="42" s="1"/>
  <c r="P389" i="42"/>
  <c r="Q389" i="42" s="1"/>
  <c r="P385" i="42"/>
  <c r="Q385" i="42" s="1"/>
  <c r="P381" i="42"/>
  <c r="Q381" i="42" s="1"/>
  <c r="P332" i="42"/>
  <c r="Q332" i="42" s="1"/>
  <c r="P306" i="42"/>
  <c r="Q306" i="42" s="1"/>
  <c r="P302" i="42"/>
  <c r="Q302" i="42" s="1"/>
  <c r="P239" i="42"/>
  <c r="Q239" i="42" s="1"/>
  <c r="P232" i="42"/>
  <c r="Q232" i="42" s="1"/>
  <c r="P225" i="42"/>
  <c r="Q225" i="42" s="1"/>
  <c r="P223" i="42"/>
  <c r="Q223" i="42" s="1"/>
  <c r="P215" i="42"/>
  <c r="Q215" i="42" s="1"/>
  <c r="P193" i="42"/>
  <c r="Q193" i="42" s="1"/>
  <c r="P174" i="42"/>
  <c r="Q174" i="42" s="1"/>
  <c r="P170" i="42"/>
  <c r="Q170" i="42" s="1"/>
  <c r="P154" i="42"/>
  <c r="Q154" i="42" s="1"/>
  <c r="P150" i="42"/>
  <c r="Q150" i="42" s="1"/>
  <c r="P873" i="42"/>
  <c r="Q873" i="42" s="1"/>
  <c r="P932" i="42"/>
  <c r="Q932" i="42" s="1"/>
  <c r="P1049" i="42"/>
  <c r="Q1049" i="42" s="1"/>
  <c r="P984" i="42"/>
  <c r="Q984" i="42" s="1"/>
  <c r="P964" i="42"/>
  <c r="Q964" i="42" s="1"/>
  <c r="P930" i="42"/>
  <c r="Q930" i="42" s="1"/>
  <c r="P918" i="42"/>
  <c r="Q918" i="42" s="1"/>
  <c r="P914" i="42"/>
  <c r="Q914" i="42" s="1"/>
  <c r="P910" i="42"/>
  <c r="Q910" i="42" s="1"/>
  <c r="P905" i="42"/>
  <c r="Q905" i="42" s="1"/>
  <c r="P900" i="42"/>
  <c r="Q900" i="42" s="1"/>
  <c r="P896" i="42"/>
  <c r="Q896" i="42" s="1"/>
  <c r="P892" i="42"/>
  <c r="Q892" i="42" s="1"/>
  <c r="P888" i="42"/>
  <c r="Q888" i="42" s="1"/>
  <c r="P867" i="42"/>
  <c r="Q867" i="42" s="1"/>
  <c r="P863" i="42"/>
  <c r="Q863" i="42" s="1"/>
  <c r="P859" i="42"/>
  <c r="Q859" i="42" s="1"/>
  <c r="P855" i="42"/>
  <c r="Q855" i="42" s="1"/>
  <c r="P843" i="42"/>
  <c r="Q843" i="42" s="1"/>
  <c r="P831" i="42"/>
  <c r="Q831" i="42" s="1"/>
  <c r="P818" i="42"/>
  <c r="Q818" i="42" s="1"/>
  <c r="P815" i="42"/>
  <c r="Q815" i="42" s="1"/>
  <c r="P806" i="42"/>
  <c r="Q806" i="42" s="1"/>
  <c r="P552" i="42"/>
  <c r="Q552" i="42" s="1"/>
  <c r="P523" i="42"/>
  <c r="Q523" i="42" s="1"/>
  <c r="P438" i="42"/>
  <c r="Q438" i="42" s="1"/>
  <c r="P390" i="42"/>
  <c r="Q390" i="42" s="1"/>
  <c r="P337" i="42"/>
  <c r="Q337" i="42" s="1"/>
  <c r="P762" i="42"/>
  <c r="Q762" i="42" s="1"/>
  <c r="P754" i="42"/>
  <c r="Q754" i="42" s="1"/>
  <c r="P688" i="42"/>
  <c r="Q688" i="42" s="1"/>
  <c r="P543" i="42"/>
  <c r="Q543" i="42" s="1"/>
  <c r="P340" i="42"/>
  <c r="Q340" i="42" s="1"/>
  <c r="P312" i="42"/>
  <c r="Q312" i="42" s="1"/>
  <c r="P178" i="42"/>
  <c r="Q178" i="42" s="1"/>
  <c r="P163" i="42"/>
  <c r="Q163" i="42" s="1"/>
  <c r="P159" i="42"/>
  <c r="Q159" i="42" s="1"/>
  <c r="P147" i="42"/>
  <c r="Q147" i="42" s="1"/>
  <c r="P144" i="42"/>
  <c r="Q144" i="42" s="1"/>
  <c r="P140" i="42"/>
  <c r="Q140" i="42" s="1"/>
  <c r="P136" i="42"/>
  <c r="Q136" i="42" s="1"/>
  <c r="P131" i="42"/>
  <c r="Q131" i="42" s="1"/>
  <c r="P118" i="42"/>
  <c r="Q118" i="42" s="1"/>
  <c r="P107" i="42"/>
  <c r="Q107" i="42" s="1"/>
  <c r="P103" i="42"/>
  <c r="Q103" i="42" s="1"/>
  <c r="P52" i="42"/>
  <c r="Q52" i="42" s="1"/>
  <c r="P804" i="42"/>
  <c r="Q804" i="42" s="1"/>
  <c r="P783" i="42"/>
  <c r="Q783" i="42" s="1"/>
  <c r="P756" i="42"/>
  <c r="Q756" i="42" s="1"/>
  <c r="P748" i="42"/>
  <c r="Q748" i="42" s="1"/>
  <c r="P744" i="42"/>
  <c r="Q744" i="42" s="1"/>
  <c r="P740" i="42"/>
  <c r="Q740" i="42" s="1"/>
  <c r="P705" i="42"/>
  <c r="Q705" i="42" s="1"/>
  <c r="P687" i="42"/>
  <c r="Q687" i="42" s="1"/>
  <c r="P685" i="42"/>
  <c r="Q685" i="42" s="1"/>
  <c r="P683" i="42"/>
  <c r="Q683" i="42" s="1"/>
  <c r="P679" i="42"/>
  <c r="Q679" i="42" s="1"/>
  <c r="P649" i="42"/>
  <c r="Q649" i="42" s="1"/>
  <c r="P646" i="42"/>
  <c r="Q646" i="42" s="1"/>
  <c r="P642" i="42"/>
  <c r="Q642" i="42" s="1"/>
  <c r="P639" i="42"/>
  <c r="Q639" i="42" s="1"/>
  <c r="P634" i="42"/>
  <c r="Q634" i="42" s="1"/>
  <c r="P620" i="42"/>
  <c r="Q620" i="42" s="1"/>
  <c r="P616" i="42"/>
  <c r="Q616" i="42" s="1"/>
  <c r="P607" i="42"/>
  <c r="Q607" i="42" s="1"/>
  <c r="P596" i="42"/>
  <c r="Q596" i="42" s="1"/>
  <c r="P555" i="42"/>
  <c r="Q555" i="42" s="1"/>
  <c r="P549" i="42"/>
  <c r="Q549" i="42" s="1"/>
  <c r="P522" i="42"/>
  <c r="Q522" i="42" s="1"/>
  <c r="P504" i="42"/>
  <c r="Q504" i="42" s="1"/>
  <c r="P500" i="42"/>
  <c r="Q500" i="42" s="1"/>
  <c r="P483" i="42"/>
  <c r="Q483" i="42" s="1"/>
  <c r="P473" i="42"/>
  <c r="Q473" i="42" s="1"/>
  <c r="P469" i="42"/>
  <c r="Q469" i="42" s="1"/>
  <c r="P464" i="42"/>
  <c r="Q464" i="42" s="1"/>
  <c r="P460" i="42"/>
  <c r="Q460" i="42" s="1"/>
  <c r="P437" i="42"/>
  <c r="Q437" i="42" s="1"/>
  <c r="P433" i="42"/>
  <c r="Q433" i="42" s="1"/>
  <c r="P404" i="42"/>
  <c r="Q404" i="42" s="1"/>
  <c r="P336" i="42"/>
  <c r="Q336" i="42" s="1"/>
  <c r="P275" i="42"/>
  <c r="Q275" i="42" s="1"/>
  <c r="P259" i="42"/>
  <c r="Q259" i="42" s="1"/>
  <c r="P255" i="42"/>
  <c r="Q255" i="42" s="1"/>
  <c r="P248" i="42"/>
  <c r="Q248" i="42" s="1"/>
  <c r="P244" i="42"/>
  <c r="Q244" i="42" s="1"/>
  <c r="P240" i="42"/>
  <c r="Q240" i="42" s="1"/>
  <c r="P221" i="42"/>
  <c r="Q221" i="42" s="1"/>
  <c r="P186" i="42"/>
  <c r="Q186" i="42" s="1"/>
  <c r="P180" i="42"/>
  <c r="Q180" i="42" s="1"/>
  <c r="P176" i="42"/>
  <c r="Q176" i="42" s="1"/>
  <c r="P152" i="42"/>
  <c r="Q152" i="42" s="1"/>
  <c r="P148" i="42"/>
  <c r="Q148" i="42" s="1"/>
  <c r="P133" i="42"/>
  <c r="Q133" i="42" s="1"/>
  <c r="P128" i="42"/>
  <c r="Q128" i="42" s="1"/>
  <c r="P124" i="42"/>
  <c r="Q124" i="42" s="1"/>
  <c r="P120" i="42"/>
  <c r="Q120" i="42" s="1"/>
  <c r="P88" i="42"/>
  <c r="Q88" i="42" s="1"/>
  <c r="P84" i="42"/>
  <c r="Q84" i="42" s="1"/>
  <c r="P80" i="42"/>
  <c r="Q80" i="42" s="1"/>
  <c r="P75" i="42"/>
  <c r="Q75" i="42" s="1"/>
  <c r="P50" i="42"/>
  <c r="Q50" i="42" s="1"/>
  <c r="P46" i="42"/>
  <c r="Q46" i="42" s="1"/>
  <c r="P42" i="42"/>
  <c r="Q42" i="42" s="1"/>
  <c r="P38" i="42"/>
  <c r="Q38" i="42" s="1"/>
  <c r="P34" i="42"/>
  <c r="Q34" i="42" s="1"/>
  <c r="P786" i="42"/>
  <c r="Q786" i="42" s="1"/>
  <c r="P723" i="42"/>
  <c r="Q723" i="42" s="1"/>
  <c r="P1043" i="42"/>
  <c r="Q1043" i="42" s="1"/>
  <c r="P1038" i="42"/>
  <c r="Q1038" i="42" s="1"/>
  <c r="P1034" i="42"/>
  <c r="Q1034" i="42" s="1"/>
  <c r="P1030" i="42"/>
  <c r="Q1030" i="42" s="1"/>
  <c r="P1013" i="42"/>
  <c r="Q1013" i="42" s="1"/>
  <c r="P1008" i="42"/>
  <c r="Q1008" i="42" s="1"/>
  <c r="P1004" i="42"/>
  <c r="Q1004" i="42" s="1"/>
  <c r="P996" i="42"/>
  <c r="Q996" i="42" s="1"/>
  <c r="P992" i="42"/>
  <c r="Q992" i="42" s="1"/>
  <c r="P988" i="42"/>
  <c r="Q988" i="42" s="1"/>
  <c r="P983" i="42"/>
  <c r="Q983" i="42" s="1"/>
  <c r="P978" i="42"/>
  <c r="Q978" i="42" s="1"/>
  <c r="P973" i="42"/>
  <c r="Q973" i="42" s="1"/>
  <c r="P969" i="42"/>
  <c r="Q969" i="42" s="1"/>
  <c r="P965" i="42"/>
  <c r="Q965" i="42" s="1"/>
  <c r="P946" i="42"/>
  <c r="Q946" i="42" s="1"/>
  <c r="P942" i="42"/>
  <c r="Q942" i="42" s="1"/>
  <c r="P938" i="42"/>
  <c r="Q938" i="42" s="1"/>
  <c r="P933" i="42"/>
  <c r="Q933" i="42" s="1"/>
  <c r="P928" i="42"/>
  <c r="Q928" i="42" s="1"/>
  <c r="P920" i="42"/>
  <c r="Q920" i="42" s="1"/>
  <c r="P916" i="42"/>
  <c r="Q916" i="42" s="1"/>
  <c r="P912" i="42"/>
  <c r="Q912" i="42" s="1"/>
  <c r="P908" i="42"/>
  <c r="Q908" i="42" s="1"/>
  <c r="P903" i="42"/>
  <c r="Q903" i="42" s="1"/>
  <c r="P898" i="42"/>
  <c r="Q898" i="42" s="1"/>
  <c r="P894" i="42"/>
  <c r="Q894" i="42" s="1"/>
  <c r="P890" i="42"/>
  <c r="Q890" i="42" s="1"/>
  <c r="P874" i="42"/>
  <c r="Q874" i="42" s="1"/>
  <c r="P854" i="42"/>
  <c r="Q854" i="42" s="1"/>
  <c r="P850" i="42"/>
  <c r="Q850" i="42" s="1"/>
  <c r="P846" i="42"/>
  <c r="Q846" i="42" s="1"/>
  <c r="P833" i="42"/>
  <c r="Q833" i="42" s="1"/>
  <c r="P816" i="42"/>
  <c r="Q816" i="42" s="1"/>
  <c r="P807" i="42"/>
  <c r="Q807" i="42" s="1"/>
  <c r="P792" i="42"/>
  <c r="Q792" i="42" s="1"/>
  <c r="P788" i="42"/>
  <c r="Q788" i="42" s="1"/>
  <c r="P779" i="42"/>
  <c r="Q779" i="42" s="1"/>
  <c r="P775" i="42"/>
  <c r="Q775" i="42" s="1"/>
  <c r="P771" i="42"/>
  <c r="Q771" i="42" s="1"/>
  <c r="P767" i="42"/>
  <c r="Q767" i="42" s="1"/>
  <c r="P745" i="42"/>
  <c r="Q745" i="42" s="1"/>
  <c r="P741" i="42"/>
  <c r="Q741" i="42" s="1"/>
  <c r="P736" i="42"/>
  <c r="Q736" i="42" s="1"/>
  <c r="P721" i="42"/>
  <c r="Q721" i="42" s="1"/>
  <c r="P717" i="42"/>
  <c r="Q717" i="42" s="1"/>
  <c r="P709" i="42"/>
  <c r="Q709" i="42" s="1"/>
  <c r="P704" i="42"/>
  <c r="Q704" i="42" s="1"/>
  <c r="P677" i="42"/>
  <c r="Q677" i="42" s="1"/>
  <c r="P673" i="42"/>
  <c r="Q673" i="42" s="1"/>
  <c r="P669" i="42"/>
  <c r="Q669" i="42" s="1"/>
  <c r="P664" i="42"/>
  <c r="Q664" i="42" s="1"/>
  <c r="P1048" i="42"/>
  <c r="Q1048" i="42" s="1"/>
  <c r="P1044" i="42"/>
  <c r="Q1044" i="42" s="1"/>
  <c r="P1027" i="42"/>
  <c r="Q1027" i="42" s="1"/>
  <c r="P1022" i="42"/>
  <c r="Q1022" i="42" s="1"/>
  <c r="P1018" i="42"/>
  <c r="Q1018" i="42" s="1"/>
  <c r="P997" i="42"/>
  <c r="Q997" i="42" s="1"/>
  <c r="P993" i="42"/>
  <c r="Q993" i="42" s="1"/>
  <c r="P989" i="42"/>
  <c r="Q989" i="42" s="1"/>
  <c r="P985" i="42"/>
  <c r="Q985" i="42" s="1"/>
  <c r="P980" i="42"/>
  <c r="Q980" i="42" s="1"/>
  <c r="P974" i="42"/>
  <c r="Q974" i="42" s="1"/>
  <c r="P970" i="42"/>
  <c r="Q970" i="42" s="1"/>
  <c r="P966" i="42"/>
  <c r="Q966" i="42" s="1"/>
  <c r="P952" i="42"/>
  <c r="Q952" i="42" s="1"/>
  <c r="P925" i="42"/>
  <c r="Q925" i="42" s="1"/>
  <c r="P921" i="42"/>
  <c r="Q921" i="42" s="1"/>
  <c r="P904" i="42"/>
  <c r="Q904" i="42" s="1"/>
  <c r="P887" i="42"/>
  <c r="Q887" i="42" s="1"/>
  <c r="P883" i="42"/>
  <c r="Q883" i="42" s="1"/>
  <c r="P879" i="42"/>
  <c r="Q879" i="42" s="1"/>
  <c r="P875" i="42"/>
  <c r="Q875" i="42" s="1"/>
  <c r="P869" i="42"/>
  <c r="Q869" i="42" s="1"/>
  <c r="P865" i="42"/>
  <c r="Q865" i="42" s="1"/>
  <c r="P861" i="42"/>
  <c r="Q861" i="42" s="1"/>
  <c r="P842" i="42"/>
  <c r="Q842" i="42" s="1"/>
  <c r="P838" i="42"/>
  <c r="Q838" i="42" s="1"/>
  <c r="P830" i="42"/>
  <c r="Q830" i="42" s="1"/>
  <c r="P826" i="42"/>
  <c r="Q826" i="42" s="1"/>
  <c r="P820" i="42"/>
  <c r="Q820" i="42" s="1"/>
  <c r="P813" i="42"/>
  <c r="Q813" i="42" s="1"/>
  <c r="P808" i="42"/>
  <c r="Q808" i="42" s="1"/>
  <c r="P802" i="42"/>
  <c r="Q802" i="42" s="1"/>
  <c r="P797" i="42"/>
  <c r="Q797" i="42" s="1"/>
  <c r="P785" i="42"/>
  <c r="Q785" i="42" s="1"/>
  <c r="P768" i="42"/>
  <c r="Q768" i="42" s="1"/>
  <c r="P764" i="42"/>
  <c r="Q764" i="42" s="1"/>
  <c r="P759" i="42"/>
  <c r="Q759" i="42" s="1"/>
  <c r="P750" i="42"/>
  <c r="Q750" i="42" s="1"/>
  <c r="P734" i="42"/>
  <c r="Q734" i="42" s="1"/>
  <c r="P729" i="42"/>
  <c r="Q729" i="42" s="1"/>
  <c r="P725" i="42"/>
  <c r="Q725" i="42" s="1"/>
  <c r="P722" i="42"/>
  <c r="Q722" i="42" s="1"/>
  <c r="P714" i="42"/>
  <c r="Q714" i="42" s="1"/>
  <c r="P706" i="42"/>
  <c r="Q706" i="42" s="1"/>
  <c r="P701" i="42"/>
  <c r="Q701" i="42" s="1"/>
  <c r="P699" i="42"/>
  <c r="Q699" i="42" s="1"/>
  <c r="P697" i="42"/>
  <c r="Q697" i="42" s="1"/>
  <c r="P695" i="42"/>
  <c r="Q695" i="42" s="1"/>
  <c r="P678" i="42"/>
  <c r="Q678" i="42" s="1"/>
  <c r="P658" i="42"/>
  <c r="Q658" i="42" s="1"/>
  <c r="P676" i="42"/>
  <c r="Q676" i="42" s="1"/>
  <c r="P672" i="42"/>
  <c r="Q672" i="42" s="1"/>
  <c r="P668" i="42"/>
  <c r="Q668" i="42" s="1"/>
  <c r="P663" i="42"/>
  <c r="Q663" i="42" s="1"/>
  <c r="P651" i="42"/>
  <c r="Q651" i="42" s="1"/>
  <c r="P645" i="42"/>
  <c r="Q645" i="42" s="1"/>
  <c r="P638" i="42"/>
  <c r="Q638" i="42" s="1"/>
  <c r="P633" i="42"/>
  <c r="Q633" i="42" s="1"/>
  <c r="P630" i="42"/>
  <c r="Q630" i="42" s="1"/>
  <c r="P615" i="42"/>
  <c r="Q615" i="42" s="1"/>
  <c r="P611" i="42"/>
  <c r="Q611" i="42" s="1"/>
  <c r="P599" i="42"/>
  <c r="Q599" i="42" s="1"/>
  <c r="P594" i="42"/>
  <c r="Q594" i="42" s="1"/>
  <c r="P589" i="42"/>
  <c r="Q589" i="42" s="1"/>
  <c r="P584" i="42"/>
  <c r="Q584" i="42" s="1"/>
  <c r="P578" i="42"/>
  <c r="Q578" i="42" s="1"/>
  <c r="P574" i="42"/>
  <c r="Q574" i="42" s="1"/>
  <c r="P570" i="42"/>
  <c r="Q570" i="42" s="1"/>
  <c r="P566" i="42"/>
  <c r="Q566" i="42" s="1"/>
  <c r="P564" i="42"/>
  <c r="Q564" i="42" s="1"/>
  <c r="P556" i="42"/>
  <c r="Q556" i="42" s="1"/>
  <c r="P537" i="42"/>
  <c r="Q537" i="42" s="1"/>
  <c r="P533" i="42"/>
  <c r="Q533" i="42" s="1"/>
  <c r="P525" i="42"/>
  <c r="Q525" i="42" s="1"/>
  <c r="P517" i="42"/>
  <c r="Q517" i="42" s="1"/>
  <c r="P513" i="42"/>
  <c r="Q513" i="42" s="1"/>
  <c r="P508" i="42"/>
  <c r="Q508" i="42" s="1"/>
  <c r="P490" i="42"/>
  <c r="Q490" i="42" s="1"/>
  <c r="P480" i="42"/>
  <c r="Q480" i="42" s="1"/>
  <c r="P474" i="42"/>
  <c r="Q474" i="42" s="1"/>
  <c r="P470" i="42"/>
  <c r="Q470" i="42" s="1"/>
  <c r="P466" i="42"/>
  <c r="Q466" i="42" s="1"/>
  <c r="P457" i="42"/>
  <c r="Q457" i="42" s="1"/>
  <c r="P452" i="42"/>
  <c r="Q452" i="42" s="1"/>
  <c r="P448" i="42"/>
  <c r="Q448" i="42" s="1"/>
  <c r="P444" i="42"/>
  <c r="Q444" i="42" s="1"/>
  <c r="P436" i="42"/>
  <c r="Q436" i="42" s="1"/>
  <c r="P431" i="42"/>
  <c r="Q431" i="42" s="1"/>
  <c r="P425" i="42"/>
  <c r="Q425" i="42" s="1"/>
  <c r="P420" i="42"/>
  <c r="Q420" i="42" s="1"/>
  <c r="P417" i="42"/>
  <c r="Q417" i="42" s="1"/>
  <c r="P409" i="42"/>
  <c r="Q409" i="42" s="1"/>
  <c r="P405" i="42"/>
  <c r="Q405" i="42" s="1"/>
  <c r="P399" i="42"/>
  <c r="Q399" i="42" s="1"/>
  <c r="P388" i="42"/>
  <c r="Q388" i="42" s="1"/>
  <c r="P384" i="42"/>
  <c r="Q384" i="42" s="1"/>
  <c r="P291" i="42"/>
  <c r="Q291" i="42" s="1"/>
  <c r="P375" i="42"/>
  <c r="Q375" i="42" s="1"/>
  <c r="P371" i="42"/>
  <c r="Q371" i="42" s="1"/>
  <c r="P369" i="42"/>
  <c r="Q369" i="42" s="1"/>
  <c r="P358" i="42"/>
  <c r="Q358" i="42" s="1"/>
  <c r="P352" i="42"/>
  <c r="Q352" i="42" s="1"/>
  <c r="P349" i="42"/>
  <c r="Q349" i="42" s="1"/>
  <c r="P345" i="42"/>
  <c r="Q345" i="42" s="1"/>
  <c r="P341" i="42"/>
  <c r="Q341" i="42" s="1"/>
  <c r="P317" i="42"/>
  <c r="Q317" i="42" s="1"/>
  <c r="P313" i="42"/>
  <c r="Q313" i="42" s="1"/>
  <c r="P311" i="42"/>
  <c r="Q311" i="42" s="1"/>
  <c r="P307" i="42"/>
  <c r="Q307" i="42" s="1"/>
  <c r="P303" i="42"/>
  <c r="Q303" i="42" s="1"/>
  <c r="P298" i="42"/>
  <c r="Q298" i="42" s="1"/>
  <c r="P282" i="42"/>
  <c r="Q282" i="42" s="1"/>
  <c r="P227" i="42"/>
  <c r="Q227" i="42" s="1"/>
  <c r="P654" i="42"/>
  <c r="Q654" i="42" s="1"/>
  <c r="P650" i="42"/>
  <c r="Q650" i="42" s="1"/>
  <c r="P627" i="42"/>
  <c r="Q627" i="42" s="1"/>
  <c r="P624" i="42"/>
  <c r="Q624" i="42" s="1"/>
  <c r="P621" i="42"/>
  <c r="Q621" i="42" s="1"/>
  <c r="P617" i="42"/>
  <c r="Q617" i="42" s="1"/>
  <c r="P612" i="42"/>
  <c r="Q612" i="42" s="1"/>
  <c r="P609" i="42"/>
  <c r="Q609" i="42" s="1"/>
  <c r="P605" i="42"/>
  <c r="Q605" i="42" s="1"/>
  <c r="P601" i="42"/>
  <c r="Q601" i="42" s="1"/>
  <c r="P597" i="42"/>
  <c r="Q597" i="42" s="1"/>
  <c r="P592" i="42"/>
  <c r="Q592" i="42" s="1"/>
  <c r="P587" i="42"/>
  <c r="Q587" i="42" s="1"/>
  <c r="P576" i="42"/>
  <c r="Q576" i="42" s="1"/>
  <c r="P568" i="42"/>
  <c r="Q568" i="42" s="1"/>
  <c r="P563" i="42"/>
  <c r="Q563" i="42" s="1"/>
  <c r="P548" i="42"/>
  <c r="Q548" i="42" s="1"/>
  <c r="P544" i="42"/>
  <c r="Q544" i="42" s="1"/>
  <c r="P527" i="42"/>
  <c r="Q527" i="42" s="1"/>
  <c r="P524" i="42"/>
  <c r="Q524" i="42" s="1"/>
  <c r="P501" i="42"/>
  <c r="Q501" i="42" s="1"/>
  <c r="P497" i="42"/>
  <c r="Q497" i="42" s="1"/>
  <c r="P484" i="42"/>
  <c r="Q484" i="42" s="1"/>
  <c r="P479" i="42"/>
  <c r="Q479" i="42" s="1"/>
  <c r="P476" i="42"/>
  <c r="Q476" i="42" s="1"/>
  <c r="P472" i="42"/>
  <c r="Q472" i="42" s="1"/>
  <c r="P468" i="42"/>
  <c r="Q468" i="42" s="1"/>
  <c r="P463" i="42"/>
  <c r="Q463" i="42" s="1"/>
  <c r="P459" i="42"/>
  <c r="Q459" i="42" s="1"/>
  <c r="P455" i="42"/>
  <c r="Q455" i="42" s="1"/>
  <c r="P450" i="42"/>
  <c r="Q450" i="42" s="1"/>
  <c r="P446" i="42"/>
  <c r="Q446" i="42" s="1"/>
  <c r="P442" i="42"/>
  <c r="Q442" i="42" s="1"/>
  <c r="P434" i="42"/>
  <c r="Q434" i="42" s="1"/>
  <c r="P419" i="42"/>
  <c r="Q419" i="42" s="1"/>
  <c r="P415" i="42"/>
  <c r="Q415" i="42" s="1"/>
  <c r="P411" i="42"/>
  <c r="Q411" i="42" s="1"/>
  <c r="P407" i="42"/>
  <c r="Q407" i="42" s="1"/>
  <c r="P394" i="42"/>
  <c r="Q394" i="42" s="1"/>
  <c r="P391" i="42"/>
  <c r="Q391" i="42" s="1"/>
  <c r="P356" i="42"/>
  <c r="Q356" i="42" s="1"/>
  <c r="P346" i="42"/>
  <c r="Q346" i="42" s="1"/>
  <c r="P330" i="42"/>
  <c r="Q330" i="42" s="1"/>
  <c r="P326" i="42"/>
  <c r="Q326" i="42" s="1"/>
  <c r="P322" i="42"/>
  <c r="Q322" i="42" s="1"/>
  <c r="P318" i="42"/>
  <c r="Q318" i="42" s="1"/>
  <c r="P299" i="42"/>
  <c r="Q299" i="42" s="1"/>
  <c r="P290" i="42"/>
  <c r="Q290" i="42" s="1"/>
  <c r="P270" i="42"/>
  <c r="Q270" i="42" s="1"/>
  <c r="P228" i="42"/>
  <c r="Q228" i="42" s="1"/>
  <c r="P280" i="42"/>
  <c r="Q280" i="42" s="1"/>
  <c r="P276" i="42"/>
  <c r="Q276" i="42" s="1"/>
  <c r="P272" i="42"/>
  <c r="Q272" i="42" s="1"/>
  <c r="P269" i="42"/>
  <c r="Q269" i="42" s="1"/>
  <c r="P265" i="42"/>
  <c r="Q265" i="42" s="1"/>
  <c r="P261" i="42"/>
  <c r="Q261" i="42" s="1"/>
  <c r="P251" i="42"/>
  <c r="Q251" i="42" s="1"/>
  <c r="P235" i="42"/>
  <c r="Q235" i="42" s="1"/>
  <c r="P155" i="42"/>
  <c r="Q155" i="42" s="1"/>
  <c r="P47" i="42"/>
  <c r="Q47" i="42" s="1"/>
  <c r="P24" i="42"/>
  <c r="Q24" i="42" s="1"/>
  <c r="P286" i="42"/>
  <c r="Q286" i="42" s="1"/>
  <c r="P283" i="42"/>
  <c r="Q283" i="42" s="1"/>
  <c r="P277" i="42"/>
  <c r="Q277" i="42" s="1"/>
  <c r="P273" i="42"/>
  <c r="Q273" i="42" s="1"/>
  <c r="P266" i="42"/>
  <c r="Q266" i="42" s="1"/>
  <c r="P249" i="42"/>
  <c r="Q249" i="42" s="1"/>
  <c r="P246" i="42"/>
  <c r="Q246" i="42" s="1"/>
  <c r="P242" i="42"/>
  <c r="Q242" i="42" s="1"/>
  <c r="P237" i="42"/>
  <c r="Q237" i="42" s="1"/>
  <c r="P233" i="42"/>
  <c r="Q233" i="42" s="1"/>
  <c r="P229" i="42"/>
  <c r="Q229" i="42" s="1"/>
  <c r="P222" i="42"/>
  <c r="Q222" i="42" s="1"/>
  <c r="P219" i="42"/>
  <c r="Q219" i="42" s="1"/>
  <c r="P199" i="42"/>
  <c r="Q199" i="42" s="1"/>
  <c r="P196" i="42"/>
  <c r="Q196" i="42" s="1"/>
  <c r="P182" i="42"/>
  <c r="Q182" i="42" s="1"/>
  <c r="P169" i="42"/>
  <c r="Q169" i="42" s="1"/>
  <c r="P165" i="42"/>
  <c r="Q165" i="42" s="1"/>
  <c r="P161" i="42"/>
  <c r="Q161" i="42" s="1"/>
  <c r="P157" i="42"/>
  <c r="Q157" i="42" s="1"/>
  <c r="P142" i="42"/>
  <c r="Q142" i="42" s="1"/>
  <c r="P138" i="42"/>
  <c r="Q138" i="42" s="1"/>
  <c r="P134" i="42"/>
  <c r="Q134" i="42" s="1"/>
  <c r="P129" i="42"/>
  <c r="Q129" i="42" s="1"/>
  <c r="P116" i="42"/>
  <c r="Q116" i="42" s="1"/>
  <c r="P112" i="42"/>
  <c r="Q112" i="42" s="1"/>
  <c r="P92" i="42"/>
  <c r="Q92" i="42" s="1"/>
  <c r="P87" i="42"/>
  <c r="Q87" i="42" s="1"/>
  <c r="P83" i="42"/>
  <c r="Q83" i="42" s="1"/>
  <c r="P79" i="42"/>
  <c r="Q79" i="42" s="1"/>
  <c r="P74" i="42"/>
  <c r="Q74" i="42" s="1"/>
  <c r="P70" i="42"/>
  <c r="Q70" i="42" s="1"/>
  <c r="P44" i="42"/>
  <c r="Q44" i="42" s="1"/>
  <c r="P31" i="42"/>
  <c r="Q31" i="42" s="1"/>
  <c r="P21" i="42"/>
  <c r="Q21" i="42" s="1"/>
  <c r="P20" i="42"/>
  <c r="Q20" i="42" s="1"/>
  <c r="P15" i="42"/>
  <c r="Q15" i="42" s="1"/>
  <c r="P11" i="42"/>
  <c r="Q11" i="42" s="1"/>
  <c r="P1050" i="42"/>
  <c r="Q1050" i="42" s="1"/>
  <c r="P1045" i="42"/>
  <c r="Q1045" i="42" s="1"/>
  <c r="P1040" i="42"/>
  <c r="Q1040" i="42" s="1"/>
  <c r="P1035" i="42"/>
  <c r="Q1035" i="42" s="1"/>
  <c r="P1031" i="42"/>
  <c r="Q1031" i="42" s="1"/>
  <c r="P1024" i="42"/>
  <c r="Q1024" i="42" s="1"/>
  <c r="P1019" i="42"/>
  <c r="Q1019" i="42" s="1"/>
  <c r="P1014" i="42"/>
  <c r="Q1014" i="42" s="1"/>
  <c r="P1007" i="42"/>
  <c r="Q1007" i="42" s="1"/>
  <c r="P1003" i="42"/>
  <c r="Q1003" i="42" s="1"/>
  <c r="P998" i="42"/>
  <c r="Q998" i="42" s="1"/>
  <c r="P1051" i="42"/>
  <c r="Q1051" i="42" s="1"/>
  <c r="P1046" i="42"/>
  <c r="Q1046" i="42" s="1"/>
  <c r="P1041" i="42"/>
  <c r="Q1041" i="42" s="1"/>
  <c r="P1036" i="42"/>
  <c r="Q1036" i="42" s="1"/>
  <c r="P1032" i="42"/>
  <c r="Q1032" i="42" s="1"/>
  <c r="P1025" i="42"/>
  <c r="Q1025" i="42" s="1"/>
  <c r="P1020" i="42"/>
  <c r="Q1020" i="42" s="1"/>
  <c r="P1015" i="42"/>
  <c r="Q1015" i="42" s="1"/>
  <c r="P991" i="42"/>
  <c r="Q991" i="42" s="1"/>
  <c r="P987" i="42"/>
  <c r="Q987" i="42" s="1"/>
  <c r="P982" i="42"/>
  <c r="Q982" i="42" s="1"/>
  <c r="P977" i="42"/>
  <c r="Q977" i="42" s="1"/>
  <c r="P972" i="42"/>
  <c r="Q972" i="42" s="1"/>
  <c r="P968" i="42"/>
  <c r="Q968" i="42" s="1"/>
  <c r="P961" i="42"/>
  <c r="Q961" i="42" s="1"/>
  <c r="P956" i="42"/>
  <c r="Q956" i="42" s="1"/>
  <c r="P951" i="42"/>
  <c r="Q951" i="42" s="1"/>
  <c r="P1052" i="42"/>
  <c r="Q1052" i="42" s="1"/>
  <c r="P1047" i="42"/>
  <c r="Q1047" i="42" s="1"/>
  <c r="P1042" i="42"/>
  <c r="Q1042" i="42" s="1"/>
  <c r="P1037" i="42"/>
  <c r="Q1037" i="42" s="1"/>
  <c r="P1033" i="42"/>
  <c r="Q1033" i="42" s="1"/>
  <c r="P1029" i="42"/>
  <c r="Q1029" i="42" s="1"/>
  <c r="P1026" i="42"/>
  <c r="Q1026" i="42" s="1"/>
  <c r="P1021" i="42"/>
  <c r="Q1021" i="42" s="1"/>
  <c r="P1017" i="42"/>
  <c r="Q1017" i="42" s="1"/>
  <c r="P1009" i="42"/>
  <c r="Q1009" i="42" s="1"/>
  <c r="P1005" i="42"/>
  <c r="Q1005" i="42" s="1"/>
  <c r="P1001" i="42"/>
  <c r="Q1001" i="42" s="1"/>
  <c r="P995" i="42"/>
  <c r="Q995" i="42" s="1"/>
  <c r="P990" i="42"/>
  <c r="Q990" i="42" s="1"/>
  <c r="P986" i="42"/>
  <c r="Q986" i="42" s="1"/>
  <c r="P981" i="42"/>
  <c r="Q981" i="42" s="1"/>
  <c r="P976" i="42"/>
  <c r="Q976" i="42" s="1"/>
  <c r="P971" i="42"/>
  <c r="Q971" i="42" s="1"/>
  <c r="P967" i="42"/>
  <c r="Q967" i="42" s="1"/>
  <c r="P960" i="42"/>
  <c r="Q960" i="42" s="1"/>
  <c r="P955" i="42"/>
  <c r="Q955" i="42" s="1"/>
  <c r="P950" i="42"/>
  <c r="Q950" i="42" s="1"/>
  <c r="P943" i="42"/>
  <c r="Q943" i="42" s="1"/>
  <c r="P939" i="42"/>
  <c r="Q939" i="42" s="1"/>
  <c r="P934" i="42"/>
  <c r="Q934" i="42" s="1"/>
  <c r="P929" i="42"/>
  <c r="Q929" i="42" s="1"/>
  <c r="P924" i="42"/>
  <c r="Q924" i="42" s="1"/>
  <c r="P919" i="42"/>
  <c r="Q919" i="42" s="1"/>
  <c r="P915" i="42"/>
  <c r="Q915" i="42" s="1"/>
  <c r="P911" i="42"/>
  <c r="Q911" i="42" s="1"/>
  <c r="P907" i="42"/>
  <c r="Q907" i="42" s="1"/>
  <c r="P902" i="42"/>
  <c r="Q902" i="42" s="1"/>
  <c r="P897" i="42"/>
  <c r="Q897" i="42" s="1"/>
  <c r="P893" i="42"/>
  <c r="Q893" i="42" s="1"/>
  <c r="P886" i="42"/>
  <c r="Q886" i="42" s="1"/>
  <c r="P882" i="42"/>
  <c r="Q882" i="42" s="1"/>
  <c r="P878" i="42"/>
  <c r="Q878" i="42" s="1"/>
  <c r="P868" i="42"/>
  <c r="Q868" i="42" s="1"/>
  <c r="P864" i="42"/>
  <c r="Q864" i="42" s="1"/>
  <c r="P860" i="42"/>
  <c r="Q860" i="42" s="1"/>
  <c r="P853" i="42"/>
  <c r="Q853" i="42" s="1"/>
  <c r="P849" i="42"/>
  <c r="Q849" i="42" s="1"/>
  <c r="P845" i="42"/>
  <c r="Q845" i="42" s="1"/>
  <c r="P839" i="42"/>
  <c r="Q839" i="42" s="1"/>
  <c r="P829" i="42"/>
  <c r="Q829" i="42" s="1"/>
  <c r="P825" i="42"/>
  <c r="Q825" i="42" s="1"/>
  <c r="P819" i="42"/>
  <c r="Q819" i="42" s="1"/>
  <c r="P814" i="42"/>
  <c r="Q814" i="42" s="1"/>
  <c r="P796" i="42"/>
  <c r="Q796" i="42" s="1"/>
  <c r="P791" i="42"/>
  <c r="Q791" i="42" s="1"/>
  <c r="P787" i="42"/>
  <c r="Q787" i="42" s="1"/>
  <c r="P780" i="42"/>
  <c r="Q780" i="42" s="1"/>
  <c r="P776" i="42"/>
  <c r="Q776" i="42" s="1"/>
  <c r="P772" i="42"/>
  <c r="Q772" i="42" s="1"/>
  <c r="P765" i="42"/>
  <c r="Q765" i="42" s="1"/>
  <c r="P760" i="42"/>
  <c r="Q760" i="42" s="1"/>
  <c r="P755" i="42"/>
  <c r="Q755" i="42" s="1"/>
  <c r="P749" i="42"/>
  <c r="Q749" i="42" s="1"/>
  <c r="P708" i="42"/>
  <c r="Q708" i="42" s="1"/>
  <c r="P703" i="42"/>
  <c r="Q703" i="42" s="1"/>
  <c r="P700" i="42"/>
  <c r="Q700" i="42" s="1"/>
  <c r="P698" i="42"/>
  <c r="Q698" i="42" s="1"/>
  <c r="P696" i="42"/>
  <c r="Q696" i="42" s="1"/>
  <c r="P682" i="42"/>
  <c r="Q682" i="42" s="1"/>
  <c r="P675" i="42"/>
  <c r="Q675" i="42" s="1"/>
  <c r="P671" i="42"/>
  <c r="Q671" i="42" s="1"/>
  <c r="P667" i="42"/>
  <c r="Q667" i="42" s="1"/>
  <c r="P661" i="42"/>
  <c r="Q661" i="42" s="1"/>
  <c r="P656" i="42"/>
  <c r="Q656" i="42" s="1"/>
  <c r="P653" i="42"/>
  <c r="Q653" i="42" s="1"/>
  <c r="P626" i="42"/>
  <c r="Q626" i="42" s="1"/>
  <c r="P623" i="42"/>
  <c r="Q623" i="42" s="1"/>
  <c r="P619" i="42"/>
  <c r="Q619" i="42" s="1"/>
  <c r="P614" i="42"/>
  <c r="Q614" i="42" s="1"/>
  <c r="P573" i="42"/>
  <c r="Q573" i="42" s="1"/>
  <c r="P569" i="42"/>
  <c r="Q569" i="42" s="1"/>
  <c r="P554" i="42"/>
  <c r="Q554" i="42" s="1"/>
  <c r="P535" i="42"/>
  <c r="Q535" i="42" s="1"/>
  <c r="P531" i="42"/>
  <c r="Q531" i="42" s="1"/>
  <c r="P519" i="42"/>
  <c r="Q519" i="42" s="1"/>
  <c r="P515" i="42"/>
  <c r="Q515" i="42" s="1"/>
  <c r="P510" i="42"/>
  <c r="Q510" i="42" s="1"/>
  <c r="P505" i="42"/>
  <c r="Q505" i="42" s="1"/>
  <c r="P488" i="42"/>
  <c r="Q488" i="42" s="1"/>
  <c r="P458" i="42"/>
  <c r="Q458" i="42" s="1"/>
  <c r="P441" i="42"/>
  <c r="Q441" i="42" s="1"/>
  <c r="P414" i="42"/>
  <c r="Q414" i="42" s="1"/>
  <c r="P410" i="42"/>
  <c r="Q410" i="42" s="1"/>
  <c r="P392" i="42"/>
  <c r="Q392" i="42" s="1"/>
  <c r="P320" i="42"/>
  <c r="Q320" i="42" s="1"/>
  <c r="P279" i="42"/>
  <c r="Q279" i="42" s="1"/>
  <c r="P931" i="42"/>
  <c r="Q931" i="42" s="1"/>
  <c r="P926" i="42"/>
  <c r="Q926" i="42" s="1"/>
  <c r="P922" i="42"/>
  <c r="Q922" i="42" s="1"/>
  <c r="P917" i="42"/>
  <c r="Q917" i="42" s="1"/>
  <c r="P913" i="42"/>
  <c r="Q913" i="42" s="1"/>
  <c r="P909" i="42"/>
  <c r="Q909" i="42" s="1"/>
  <c r="P899" i="42"/>
  <c r="Q899" i="42" s="1"/>
  <c r="P895" i="42"/>
  <c r="Q895" i="42" s="1"/>
  <c r="P891" i="42"/>
  <c r="Q891" i="42" s="1"/>
  <c r="P884" i="42"/>
  <c r="Q884" i="42" s="1"/>
  <c r="P880" i="42"/>
  <c r="Q880" i="42" s="1"/>
  <c r="P876" i="42"/>
  <c r="Q876" i="42" s="1"/>
  <c r="P872" i="42"/>
  <c r="Q872" i="42" s="1"/>
  <c r="P866" i="42"/>
  <c r="Q866" i="42" s="1"/>
  <c r="P862" i="42"/>
  <c r="Q862" i="42" s="1"/>
  <c r="P858" i="42"/>
  <c r="Q858" i="42" s="1"/>
  <c r="P856" i="42"/>
  <c r="Q856" i="42" s="1"/>
  <c r="P851" i="42"/>
  <c r="Q851" i="42" s="1"/>
  <c r="P847" i="42"/>
  <c r="Q847" i="42" s="1"/>
  <c r="P841" i="42"/>
  <c r="Q841" i="42" s="1"/>
  <c r="P832" i="42"/>
  <c r="Q832" i="42" s="1"/>
  <c r="P827" i="42"/>
  <c r="Q827" i="42" s="1"/>
  <c r="P823" i="42"/>
  <c r="Q823" i="42" s="1"/>
  <c r="P821" i="42"/>
  <c r="Q821" i="42" s="1"/>
  <c r="P817" i="42"/>
  <c r="Q817" i="42" s="1"/>
  <c r="P812" i="42"/>
  <c r="Q812" i="42" s="1"/>
  <c r="P809" i="42"/>
  <c r="Q809" i="42" s="1"/>
  <c r="P801" i="42"/>
  <c r="Q801" i="42" s="1"/>
  <c r="P798" i="42"/>
  <c r="Q798" i="42" s="1"/>
  <c r="P793" i="42"/>
  <c r="Q793" i="42" s="1"/>
  <c r="P789" i="42"/>
  <c r="Q789" i="42" s="1"/>
  <c r="P784" i="42"/>
  <c r="Q784" i="42" s="1"/>
  <c r="P782" i="42"/>
  <c r="Q782" i="42" s="1"/>
  <c r="P778" i="42"/>
  <c r="Q778" i="42" s="1"/>
  <c r="P774" i="42"/>
  <c r="Q774" i="42" s="1"/>
  <c r="P769" i="42"/>
  <c r="Q769" i="42" s="1"/>
  <c r="P763" i="42"/>
  <c r="Q763" i="42" s="1"/>
  <c r="P758" i="42"/>
  <c r="Q758" i="42" s="1"/>
  <c r="P752" i="42"/>
  <c r="Q752" i="42" s="1"/>
  <c r="P747" i="42"/>
  <c r="Q747" i="42" s="1"/>
  <c r="P743" i="42"/>
  <c r="Q743" i="42" s="1"/>
  <c r="P738" i="42"/>
  <c r="Q738" i="42" s="1"/>
  <c r="P733" i="42"/>
  <c r="Q733" i="42" s="1"/>
  <c r="P728" i="42"/>
  <c r="Q728" i="42" s="1"/>
  <c r="P724" i="42"/>
  <c r="Q724" i="42" s="1"/>
  <c r="P720" i="42"/>
  <c r="Q720" i="42" s="1"/>
  <c r="P715" i="42"/>
  <c r="Q715" i="42" s="1"/>
  <c r="P710" i="42"/>
  <c r="Q710" i="42" s="1"/>
  <c r="P648" i="42"/>
  <c r="Q648" i="42" s="1"/>
  <c r="P643" i="42"/>
  <c r="Q643" i="42" s="1"/>
  <c r="P604" i="42"/>
  <c r="Q604" i="42" s="1"/>
  <c r="P600" i="42"/>
  <c r="Q600" i="42" s="1"/>
  <c r="P561" i="42"/>
  <c r="Q561" i="42" s="1"/>
  <c r="P546" i="42"/>
  <c r="Q546" i="42" s="1"/>
  <c r="P541" i="42"/>
  <c r="Q541" i="42" s="1"/>
  <c r="P521" i="42"/>
  <c r="Q521" i="42" s="1"/>
  <c r="P499" i="42"/>
  <c r="Q499" i="42" s="1"/>
  <c r="P494" i="42"/>
  <c r="Q494" i="42" s="1"/>
  <c r="P477" i="42"/>
  <c r="Q477" i="42" s="1"/>
  <c r="P447" i="42"/>
  <c r="Q447" i="42" s="1"/>
  <c r="P430" i="42"/>
  <c r="Q430" i="42" s="1"/>
  <c r="P424" i="42"/>
  <c r="Q424" i="42" s="1"/>
  <c r="P403" i="42"/>
  <c r="Q403" i="42" s="1"/>
  <c r="P397" i="42"/>
  <c r="Q397" i="42" s="1"/>
  <c r="P334" i="42"/>
  <c r="Q334" i="42" s="1"/>
  <c r="P746" i="42"/>
  <c r="Q746" i="42" s="1"/>
  <c r="P742" i="42"/>
  <c r="Q742" i="42" s="1"/>
  <c r="P737" i="42"/>
  <c r="Q737" i="42" s="1"/>
  <c r="P732" i="42"/>
  <c r="Q732" i="42" s="1"/>
  <c r="P727" i="42"/>
  <c r="Q727" i="42" s="1"/>
  <c r="P718" i="42"/>
  <c r="Q718" i="42" s="1"/>
  <c r="P713" i="42"/>
  <c r="Q713" i="42" s="1"/>
  <c r="P707" i="42"/>
  <c r="Q707" i="42" s="1"/>
  <c r="P702" i="42"/>
  <c r="Q702" i="42" s="1"/>
  <c r="P693" i="42"/>
  <c r="Q693" i="42" s="1"/>
  <c r="P691" i="42"/>
  <c r="Q691" i="42" s="1"/>
  <c r="P689" i="42"/>
  <c r="Q689" i="42" s="1"/>
  <c r="P686" i="42"/>
  <c r="Q686" i="42" s="1"/>
  <c r="P684" i="42"/>
  <c r="Q684" i="42" s="1"/>
  <c r="P681" i="42"/>
  <c r="Q681" i="42" s="1"/>
  <c r="P674" i="42"/>
  <c r="Q674" i="42" s="1"/>
  <c r="P670" i="42"/>
  <c r="Q670" i="42" s="1"/>
  <c r="P666" i="42"/>
  <c r="Q666" i="42" s="1"/>
  <c r="P660" i="42"/>
  <c r="Q660" i="42" s="1"/>
  <c r="P657" i="42"/>
  <c r="Q657" i="42" s="1"/>
  <c r="P655" i="42"/>
  <c r="Q655" i="42" s="1"/>
  <c r="P652" i="42"/>
  <c r="Q652" i="42" s="1"/>
  <c r="P647" i="42"/>
  <c r="Q647" i="42" s="1"/>
  <c r="P640" i="42"/>
  <c r="Q640" i="42" s="1"/>
  <c r="P635" i="42"/>
  <c r="Q635" i="42" s="1"/>
  <c r="P631" i="42"/>
  <c r="Q631" i="42" s="1"/>
  <c r="P628" i="42"/>
  <c r="Q628" i="42" s="1"/>
  <c r="P625" i="42"/>
  <c r="Q625" i="42" s="1"/>
  <c r="P622" i="42"/>
  <c r="Q622" i="42" s="1"/>
  <c r="P618" i="42"/>
  <c r="Q618" i="42" s="1"/>
  <c r="P613" i="42"/>
  <c r="Q613" i="42" s="1"/>
  <c r="P608" i="42"/>
  <c r="Q608" i="42" s="1"/>
  <c r="P603" i="42"/>
  <c r="Q603" i="42" s="1"/>
  <c r="P598" i="42"/>
  <c r="Q598" i="42" s="1"/>
  <c r="P593" i="42"/>
  <c r="Q593" i="42" s="1"/>
  <c r="P588" i="42"/>
  <c r="Q588" i="42" s="1"/>
  <c r="P583" i="42"/>
  <c r="Q583" i="42" s="1"/>
  <c r="P577" i="42"/>
  <c r="Q577" i="42" s="1"/>
  <c r="P572" i="42"/>
  <c r="Q572" i="42" s="1"/>
  <c r="P567" i="42"/>
  <c r="Q567" i="42" s="1"/>
  <c r="P559" i="42"/>
  <c r="Q559" i="42" s="1"/>
  <c r="P553" i="42"/>
  <c r="Q553" i="42" s="1"/>
  <c r="P550" i="42"/>
  <c r="Q550" i="42" s="1"/>
  <c r="P545" i="42"/>
  <c r="Q545" i="42" s="1"/>
  <c r="P539" i="42"/>
  <c r="Q539" i="42" s="1"/>
  <c r="P534" i="42"/>
  <c r="Q534" i="42" s="1"/>
  <c r="P529" i="42"/>
  <c r="Q529" i="42" s="1"/>
  <c r="P526" i="42"/>
  <c r="Q526" i="42" s="1"/>
  <c r="P518" i="42"/>
  <c r="Q518" i="42" s="1"/>
  <c r="P514" i="42"/>
  <c r="Q514" i="42" s="1"/>
  <c r="P509" i="42"/>
  <c r="Q509" i="42" s="1"/>
  <c r="P503" i="42"/>
  <c r="Q503" i="42" s="1"/>
  <c r="P498" i="42"/>
  <c r="Q498" i="42" s="1"/>
  <c r="P492" i="42"/>
  <c r="Q492" i="42" s="1"/>
  <c r="P486" i="42"/>
  <c r="Q486" i="42" s="1"/>
  <c r="P481" i="42"/>
  <c r="Q481" i="42" s="1"/>
  <c r="P475" i="42"/>
  <c r="Q475" i="42" s="1"/>
  <c r="P471" i="42"/>
  <c r="Q471" i="42" s="1"/>
  <c r="P467" i="42"/>
  <c r="Q467" i="42" s="1"/>
  <c r="P462" i="42"/>
  <c r="Q462" i="42" s="1"/>
  <c r="P456" i="42"/>
  <c r="Q456" i="42" s="1"/>
  <c r="P451" i="42"/>
  <c r="Q451" i="42" s="1"/>
  <c r="P445" i="42"/>
  <c r="Q445" i="42" s="1"/>
  <c r="P440" i="42"/>
  <c r="Q440" i="42" s="1"/>
  <c r="P439" i="42"/>
  <c r="Q439" i="42" s="1"/>
  <c r="P435" i="42"/>
  <c r="Q435" i="42" s="1"/>
  <c r="P429" i="42"/>
  <c r="Q429" i="42" s="1"/>
  <c r="P423" i="42"/>
  <c r="Q423" i="42" s="1"/>
  <c r="P422" i="42"/>
  <c r="Q422" i="42" s="1"/>
  <c r="P418" i="42"/>
  <c r="Q418" i="42" s="1"/>
  <c r="P413" i="42"/>
  <c r="Q413" i="42" s="1"/>
  <c r="P408" i="42"/>
  <c r="Q408" i="42" s="1"/>
  <c r="P400" i="42"/>
  <c r="Q400" i="42" s="1"/>
  <c r="P395" i="42"/>
  <c r="Q395" i="42" s="1"/>
  <c r="P386" i="42"/>
  <c r="Q386" i="42" s="1"/>
  <c r="P382" i="42"/>
  <c r="Q382" i="42" s="1"/>
  <c r="P378" i="42"/>
  <c r="Q378" i="42" s="1"/>
  <c r="P376" i="42"/>
  <c r="Q376" i="42" s="1"/>
  <c r="P372" i="42"/>
  <c r="Q372" i="42" s="1"/>
  <c r="P366" i="42"/>
  <c r="Q366" i="42" s="1"/>
  <c r="P362" i="42"/>
  <c r="Q362" i="42" s="1"/>
  <c r="P357" i="42"/>
  <c r="Q357" i="42" s="1"/>
  <c r="P354" i="42"/>
  <c r="Q354" i="42" s="1"/>
  <c r="P350" i="42"/>
  <c r="Q350" i="42" s="1"/>
  <c r="P347" i="42"/>
  <c r="Q347" i="42" s="1"/>
  <c r="P342" i="42"/>
  <c r="Q342" i="42" s="1"/>
  <c r="P328" i="42"/>
  <c r="Q328" i="42" s="1"/>
  <c r="P324" i="42"/>
  <c r="Q324" i="42" s="1"/>
  <c r="P319" i="42"/>
  <c r="Q319" i="42" s="1"/>
  <c r="P314" i="42"/>
  <c r="Q314" i="42" s="1"/>
  <c r="P309" i="42"/>
  <c r="Q309" i="42" s="1"/>
  <c r="P304" i="42"/>
  <c r="Q304" i="42" s="1"/>
  <c r="P294" i="42"/>
  <c r="Q294" i="42" s="1"/>
  <c r="P292" i="42"/>
  <c r="Q292" i="42" s="1"/>
  <c r="P287" i="42"/>
  <c r="Q287" i="42" s="1"/>
  <c r="P284" i="42"/>
  <c r="Q284" i="42" s="1"/>
  <c r="P278" i="42"/>
  <c r="Q278" i="42" s="1"/>
  <c r="P274" i="42"/>
  <c r="Q274" i="42" s="1"/>
  <c r="P373" i="42"/>
  <c r="Q373" i="42" s="1"/>
  <c r="P367" i="42"/>
  <c r="Q367" i="42" s="1"/>
  <c r="P363" i="42"/>
  <c r="Q363" i="42" s="1"/>
  <c r="P359" i="42"/>
  <c r="Q359" i="42" s="1"/>
  <c r="P355" i="42"/>
  <c r="Q355" i="42" s="1"/>
  <c r="P351" i="42"/>
  <c r="Q351" i="42" s="1"/>
  <c r="P348" i="42"/>
  <c r="Q348" i="42" s="1"/>
  <c r="P344" i="42"/>
  <c r="Q344" i="42" s="1"/>
  <c r="P338" i="42"/>
  <c r="Q338" i="42" s="1"/>
  <c r="P335" i="42"/>
  <c r="Q335" i="42" s="1"/>
  <c r="P333" i="42"/>
  <c r="Q333" i="42" s="1"/>
  <c r="P329" i="42"/>
  <c r="Q329" i="42" s="1"/>
  <c r="P325" i="42"/>
  <c r="Q325" i="42" s="1"/>
  <c r="P321" i="42"/>
  <c r="Q321" i="42" s="1"/>
  <c r="P316" i="42"/>
  <c r="Q316" i="42" s="1"/>
  <c r="P310" i="42"/>
  <c r="Q310" i="42" s="1"/>
  <c r="P305" i="42"/>
  <c r="Q305" i="42" s="1"/>
  <c r="P295" i="42"/>
  <c r="Q295" i="42" s="1"/>
  <c r="P289" i="42"/>
  <c r="Q289" i="42" s="1"/>
  <c r="P281" i="42"/>
  <c r="Q281" i="42" s="1"/>
  <c r="P268" i="42"/>
  <c r="Q268" i="42" s="1"/>
  <c r="P263" i="42"/>
  <c r="Q263" i="42" s="1"/>
  <c r="P258" i="42"/>
  <c r="Q258" i="42" s="1"/>
  <c r="P254" i="42"/>
  <c r="Q254" i="42" s="1"/>
  <c r="P253" i="42"/>
  <c r="Q253" i="42" s="1"/>
  <c r="P218" i="42"/>
  <c r="Q218" i="42" s="1"/>
  <c r="P214" i="42"/>
  <c r="Q214" i="42" s="1"/>
  <c r="P198" i="42"/>
  <c r="Q198" i="42" s="1"/>
  <c r="P195" i="42"/>
  <c r="Q195" i="42" s="1"/>
  <c r="P191" i="42"/>
  <c r="Q191" i="42" s="1"/>
  <c r="P189" i="42"/>
  <c r="Q189" i="42" s="1"/>
  <c r="P188" i="42"/>
  <c r="Q188" i="42" s="1"/>
  <c r="P185" i="42"/>
  <c r="Q185" i="42" s="1"/>
  <c r="P183" i="42"/>
  <c r="Q183" i="42" s="1"/>
  <c r="P181" i="42"/>
  <c r="Q181" i="42" s="1"/>
  <c r="P179" i="42"/>
  <c r="Q179" i="42" s="1"/>
  <c r="P175" i="42"/>
  <c r="Q175" i="42" s="1"/>
  <c r="P173" i="42"/>
  <c r="Q173" i="42" s="1"/>
  <c r="P172" i="42"/>
  <c r="Q172" i="42" s="1"/>
  <c r="P162" i="42"/>
  <c r="Q162" i="42" s="1"/>
  <c r="P158" i="42"/>
  <c r="Q158" i="42" s="1"/>
  <c r="P153" i="42"/>
  <c r="Q153" i="42" s="1"/>
  <c r="P149" i="42"/>
  <c r="Q149" i="42" s="1"/>
  <c r="P146" i="42"/>
  <c r="Q146" i="42" s="1"/>
  <c r="P141" i="42"/>
  <c r="Q141" i="42" s="1"/>
  <c r="P137" i="42"/>
  <c r="Q137" i="42" s="1"/>
  <c r="P132" i="42"/>
  <c r="Q132" i="42" s="1"/>
  <c r="P130" i="42"/>
  <c r="Q130" i="42" s="1"/>
  <c r="P125" i="42"/>
  <c r="Q125" i="42" s="1"/>
  <c r="P121" i="42"/>
  <c r="Q121" i="42" s="1"/>
  <c r="P115" i="42"/>
  <c r="Q115" i="42" s="1"/>
  <c r="P111" i="42"/>
  <c r="Q111" i="42" s="1"/>
  <c r="P106" i="42"/>
  <c r="Q106" i="42" s="1"/>
  <c r="P102" i="42"/>
  <c r="Q102" i="42" s="1"/>
  <c r="P41" i="42"/>
  <c r="Q41" i="42" s="1"/>
  <c r="P37" i="42"/>
  <c r="Q37" i="42" s="1"/>
  <c r="P30" i="42"/>
  <c r="Q30" i="42" s="1"/>
  <c r="P271" i="42"/>
  <c r="Q271" i="42" s="1"/>
  <c r="P267" i="42"/>
  <c r="Q267" i="42" s="1"/>
  <c r="P262" i="42"/>
  <c r="Q262" i="42" s="1"/>
  <c r="P257" i="42"/>
  <c r="Q257" i="42" s="1"/>
  <c r="P250" i="42"/>
  <c r="Q250" i="42" s="1"/>
  <c r="P245" i="42"/>
  <c r="Q245" i="42" s="1"/>
  <c r="P241" i="42"/>
  <c r="Q241" i="42" s="1"/>
  <c r="P236" i="42"/>
  <c r="Q236" i="42" s="1"/>
  <c r="P231" i="42"/>
  <c r="Q231" i="42" s="1"/>
  <c r="P168" i="42"/>
  <c r="Q168" i="42" s="1"/>
  <c r="P164" i="42"/>
  <c r="Q164" i="42" s="1"/>
  <c r="P160" i="42"/>
  <c r="Q160" i="42" s="1"/>
  <c r="P156" i="42"/>
  <c r="Q156" i="42" s="1"/>
  <c r="P151" i="42"/>
  <c r="Q151" i="42" s="1"/>
  <c r="P143" i="42"/>
  <c r="Q143" i="42" s="1"/>
  <c r="P139" i="42"/>
  <c r="Q139" i="42" s="1"/>
  <c r="P135" i="42"/>
  <c r="Q135" i="42" s="1"/>
  <c r="P127" i="42"/>
  <c r="Q127" i="42" s="1"/>
  <c r="P123" i="42"/>
  <c r="Q123" i="42" s="1"/>
  <c r="P100" i="42"/>
  <c r="Q100" i="42" s="1"/>
  <c r="P96" i="42"/>
  <c r="Q96" i="42" s="1"/>
  <c r="P91" i="42"/>
  <c r="Q91" i="42" s="1"/>
  <c r="P69" i="42"/>
  <c r="Q69" i="42" s="1"/>
  <c r="P25" i="42"/>
  <c r="Q25" i="42" s="1"/>
  <c r="P113" i="42"/>
  <c r="Q113" i="42" s="1"/>
  <c r="P109" i="42"/>
  <c r="Q109" i="42" s="1"/>
  <c r="P104" i="42"/>
  <c r="Q104" i="42" s="1"/>
  <c r="P99" i="42"/>
  <c r="Q99" i="42" s="1"/>
  <c r="P95" i="42"/>
  <c r="Q95" i="42" s="1"/>
  <c r="P90" i="42"/>
  <c r="Q90" i="42" s="1"/>
  <c r="P85" i="42"/>
  <c r="Q85" i="42" s="1"/>
  <c r="P81" i="42"/>
  <c r="Q81" i="42" s="1"/>
  <c r="P77" i="42"/>
  <c r="Q77" i="42" s="1"/>
  <c r="P71" i="42"/>
  <c r="Q71" i="42" s="1"/>
  <c r="P66" i="42"/>
  <c r="Q66" i="42" s="1"/>
  <c r="P62" i="42"/>
  <c r="Q62" i="42" s="1"/>
  <c r="P58" i="42"/>
  <c r="Q58" i="42" s="1"/>
  <c r="P53" i="42"/>
  <c r="Q53" i="42" s="1"/>
  <c r="P48" i="42"/>
  <c r="Q48" i="42" s="1"/>
  <c r="P43" i="42"/>
  <c r="Q43" i="42" s="1"/>
  <c r="P39" i="42"/>
  <c r="Q39" i="42" s="1"/>
  <c r="P35" i="42"/>
  <c r="Q35" i="42" s="1"/>
  <c r="P28" i="42"/>
  <c r="Q28" i="42" s="1"/>
  <c r="P22" i="42"/>
  <c r="Q22" i="42" s="1"/>
  <c r="P16" i="42"/>
  <c r="Q16" i="42" s="1"/>
  <c r="P12" i="42"/>
  <c r="Q12" i="42" s="1"/>
  <c r="P86" i="42"/>
  <c r="Q86" i="42" s="1"/>
  <c r="P82" i="42"/>
  <c r="Q82" i="42" s="1"/>
  <c r="P78" i="42"/>
  <c r="Q78" i="42" s="1"/>
  <c r="P73" i="42"/>
  <c r="Q73" i="42" s="1"/>
  <c r="P67" i="42"/>
  <c r="Q67" i="42" s="1"/>
  <c r="P63" i="42"/>
  <c r="Q63" i="42" s="1"/>
  <c r="P59" i="42"/>
  <c r="Q59" i="42" s="1"/>
  <c r="P54" i="42"/>
  <c r="Q54" i="42" s="1"/>
  <c r="P49" i="42"/>
  <c r="Q49" i="42" s="1"/>
  <c r="P45" i="42"/>
  <c r="Q45" i="42" s="1"/>
  <c r="P40" i="42"/>
  <c r="Q40" i="42" s="1"/>
  <c r="P36" i="42"/>
  <c r="Q36" i="42" s="1"/>
  <c r="P23" i="42"/>
  <c r="Q23" i="42" s="1"/>
  <c r="P17" i="42"/>
  <c r="Q17" i="42" s="1"/>
  <c r="P13" i="42"/>
  <c r="Q13" i="42" s="1"/>
  <c r="P9" i="42"/>
  <c r="Q9" i="42" s="1"/>
  <c r="Q50" i="38" l="1"/>
  <c r="Q269" i="38"/>
  <c r="Q337" i="38"/>
  <c r="Q240" i="38"/>
  <c r="Q267" i="38"/>
  <c r="Q328" i="38"/>
  <c r="Q302" i="38"/>
  <c r="Q275" i="38"/>
  <c r="P300" i="38"/>
  <c r="Q300" i="38" s="1"/>
  <c r="Q149" i="38"/>
  <c r="Q54" i="38"/>
  <c r="Q350" i="38"/>
  <c r="Q256" i="38"/>
  <c r="P63" i="38"/>
  <c r="Q63" i="38" s="1"/>
  <c r="P23" i="38"/>
  <c r="Q23" i="38" s="1"/>
  <c r="Q332" i="38"/>
  <c r="Q217" i="38"/>
  <c r="Q330" i="38"/>
  <c r="Q216" i="38"/>
  <c r="Q342" i="38"/>
  <c r="Q243" i="38"/>
  <c r="Q167" i="38"/>
  <c r="P55" i="38"/>
  <c r="Q55" i="38" s="1"/>
  <c r="Q11" i="38"/>
  <c r="Q339" i="38"/>
  <c r="Q177" i="38"/>
  <c r="Q238" i="38"/>
  <c r="Q341" i="38"/>
  <c r="Q353" i="38"/>
  <c r="Q220" i="38"/>
  <c r="P26" i="38"/>
  <c r="Q26" i="38" s="1"/>
  <c r="Q329" i="38"/>
  <c r="Q151" i="38"/>
  <c r="Q192" i="38"/>
  <c r="Q60" i="38"/>
  <c r="Q187" i="38"/>
  <c r="Q336" i="38"/>
  <c r="Q345" i="38"/>
  <c r="Q355" i="38"/>
  <c r="Q268" i="38"/>
  <c r="P301" i="38"/>
  <c r="Q301" i="38" s="1"/>
  <c r="P304" i="38"/>
  <c r="Q304" i="38" s="1"/>
  <c r="Q148" i="38"/>
  <c r="Q242" i="38"/>
  <c r="Q13" i="38"/>
  <c r="Q59" i="38"/>
  <c r="Q335" i="38"/>
  <c r="P186" i="38"/>
  <c r="Q186" i="38" s="1"/>
  <c r="Q12" i="38"/>
  <c r="Q303" i="38"/>
  <c r="P29" i="38"/>
  <c r="Q29" i="38" s="1"/>
  <c r="Q51" i="38"/>
  <c r="Q175" i="38"/>
  <c r="Q197" i="38"/>
  <c r="Q22" i="38"/>
  <c r="Q160" i="38"/>
  <c r="Q183" i="38"/>
  <c r="P178" i="38"/>
  <c r="Q178" i="38" s="1"/>
  <c r="P343" i="38"/>
  <c r="Q343" i="38" s="1"/>
  <c r="P196" i="38"/>
  <c r="Q196" i="38" s="1"/>
  <c r="Q327" i="38"/>
  <c r="Q28" i="38"/>
  <c r="Q236" i="38"/>
  <c r="Q351" i="38"/>
  <c r="Q150" i="38"/>
  <c r="P340" i="38"/>
  <c r="Q340" i="38" s="1"/>
  <c r="Q165" i="38"/>
  <c r="P352" i="38"/>
  <c r="Q352" i="38" s="1"/>
  <c r="Q305" i="38"/>
  <c r="Q331" i="38"/>
  <c r="Q218" i="38"/>
  <c r="Q241" i="38"/>
  <c r="Q24" i="38"/>
  <c r="P56" i="38"/>
  <c r="Q56" i="38" s="1"/>
  <c r="P147" i="38"/>
  <c r="Q147" i="38" s="1"/>
  <c r="P306" i="38"/>
  <c r="Q306" i="38" s="1"/>
  <c r="Q58" i="38"/>
  <c r="Q152" i="38"/>
  <c r="Q189" i="38"/>
  <c r="Q344" i="38"/>
  <c r="Q204" i="38"/>
  <c r="Q347" i="38"/>
  <c r="Q176" i="38"/>
  <c r="P313" i="38"/>
  <c r="Q313" i="38" s="1"/>
  <c r="Q52" i="38"/>
  <c r="P12" i="38"/>
  <c r="Q146" i="38"/>
  <c r="Q195" i="38"/>
  <c r="Q62" i="38"/>
  <c r="Q61" i="38"/>
  <c r="P201" i="38"/>
  <c r="Q201" i="38" s="1"/>
  <c r="P215" i="38"/>
  <c r="Q215" i="38" s="1"/>
  <c r="P182" i="38"/>
  <c r="Q182" i="38" s="1"/>
  <c r="P194" i="38"/>
  <c r="Q194" i="38" s="1"/>
  <c r="P333" i="38"/>
  <c r="Q333" i="38" s="1"/>
  <c r="H56" i="39"/>
  <c r="L39" i="40"/>
  <c r="Q8" i="38"/>
  <c r="Q1298" i="42"/>
  <c r="H1325" i="42"/>
  <c r="H66" i="40"/>
  <c r="I66" i="40"/>
  <c r="H701" i="38"/>
  <c r="I124" i="41"/>
  <c r="H135" i="41"/>
  <c r="L41" i="39"/>
  <c r="I126" i="41"/>
  <c r="L118" i="41"/>
  <c r="I125" i="41"/>
  <c r="I135" i="41" s="1"/>
  <c r="I696" i="38"/>
  <c r="I697" i="38"/>
  <c r="I692" i="38"/>
  <c r="I701" i="38" s="1"/>
  <c r="I694" i="38"/>
  <c r="I695" i="38"/>
  <c r="P39" i="40"/>
  <c r="Q17" i="38"/>
  <c r="N9" i="39"/>
  <c r="P9" i="39" s="1"/>
  <c r="I48" i="39"/>
  <c r="I56" i="39" s="1"/>
  <c r="P1298" i="42"/>
  <c r="P686" i="38" l="1"/>
  <c r="N38" i="40"/>
  <c r="P38" i="40"/>
  <c r="Q38" i="40" s="1"/>
  <c r="Q39" i="40" s="1"/>
  <c r="Q686" i="38"/>
  <c r="Q9" i="39"/>
  <c r="Q41" i="39" s="1"/>
  <c r="P41" i="39"/>
</calcChain>
</file>

<file path=xl/sharedStrings.xml><?xml version="1.0" encoding="utf-8"?>
<sst xmlns="http://schemas.openxmlformats.org/spreadsheetml/2006/main" count="21007" uniqueCount="4943">
  <si>
    <t xml:space="preserve">                     CONSEJO NACIONAL PARA EL VIH Y EL SIDA</t>
  </si>
  <si>
    <t xml:space="preserve">                        INVENTARIO GENERAL DE EQUIPOS Y MOBILIARIOS DE OFICINA - PROYECTO FONDO MUNDIAL</t>
  </si>
  <si>
    <t>Fecha</t>
  </si>
  <si>
    <t>Doc. Adquic.</t>
  </si>
  <si>
    <t>Código</t>
  </si>
  <si>
    <t>Descripción</t>
  </si>
  <si>
    <t>No. de Serie</t>
  </si>
  <si>
    <t xml:space="preserve">UBICACIÓN </t>
  </si>
  <si>
    <t>INSTITUCIONES</t>
  </si>
  <si>
    <t>Costo Adquisición</t>
  </si>
  <si>
    <t>Tasa</t>
  </si>
  <si>
    <t xml:space="preserve">Equivalentes en Dolares </t>
  </si>
  <si>
    <t>Vida Util</t>
  </si>
  <si>
    <t xml:space="preserve">Valor de Preciacion en Meses </t>
  </si>
  <si>
    <t>Meses Transcurridos</t>
  </si>
  <si>
    <t>Valor en Libro</t>
  </si>
  <si>
    <t>Proveedor</t>
  </si>
  <si>
    <t>Ck. 61 y       Ck 83</t>
  </si>
  <si>
    <t>N/A</t>
  </si>
  <si>
    <t>CONAVIHSIDA</t>
  </si>
  <si>
    <t>Mobiliario, S.A.</t>
  </si>
  <si>
    <t>Depto. Adquisiciones</t>
  </si>
  <si>
    <t>Sillón Técnico Mod. St-9642, tela, giratorio</t>
  </si>
  <si>
    <t>Santo Domingo, D.N.</t>
  </si>
  <si>
    <t>ASOC. PARA LA PROMOCION DE LA VIDA / COOVIDA</t>
  </si>
  <si>
    <t>DMR202G01H00-01-01616</t>
  </si>
  <si>
    <t>DMR202G01H00-01-01617</t>
  </si>
  <si>
    <t>DMR202G01H00-01-01618</t>
  </si>
  <si>
    <t>S/N</t>
  </si>
  <si>
    <t>Santo Domingo, D.N. Gascue</t>
  </si>
  <si>
    <t>MUEBLES OMAR</t>
  </si>
  <si>
    <t>Ck 364</t>
  </si>
  <si>
    <t>DMR202G01H00-01-01559</t>
  </si>
  <si>
    <t>Archivo de 2 Gavetas en Madera</t>
  </si>
  <si>
    <t>Coordinación Administrativa</t>
  </si>
  <si>
    <t>Edyjcsa comercial</t>
  </si>
  <si>
    <t>Ck 778</t>
  </si>
  <si>
    <t>DMR202G01H00-03-00021</t>
  </si>
  <si>
    <t>Camioneta Isuzu 2006 D/C Mecánicas Semi Full, color Dorada</t>
  </si>
  <si>
    <t>chassis: MPATFS54H6H516535</t>
  </si>
  <si>
    <t>Unidad de Transportación</t>
  </si>
  <si>
    <t>AUTOCAMIONES, C. POR A.</t>
  </si>
  <si>
    <t>DMR202G01H00-03-00023</t>
  </si>
  <si>
    <t>Camioneta Isuzu 2006 D/C Mecánicas Semi Full, color Rojo Vino</t>
  </si>
  <si>
    <t>chassis:MPATFS54H6H516518</t>
  </si>
  <si>
    <t>San Pedro de Macoris</t>
  </si>
  <si>
    <t>OFICINA REGIONAL DE SALUD - SAN PEDRO</t>
  </si>
  <si>
    <t>DMR202G01H00-03-00020</t>
  </si>
  <si>
    <t>chassis:MPATFS54H6H510601</t>
  </si>
  <si>
    <t>Felipa García Subervi</t>
  </si>
  <si>
    <t>ALIANZA SOLIDARIA PARA LA LUCHA CONTRA EL VIH/SIDA (ASOLSIDA)</t>
  </si>
  <si>
    <t>Ck 1108</t>
  </si>
  <si>
    <t>DMR202G01H00-01-01823</t>
  </si>
  <si>
    <t>Mesa de Computadora en Melanina Mod. 3995</t>
  </si>
  <si>
    <t>TRANS SIEMPRE AMIGAS / TRANSSA</t>
  </si>
  <si>
    <t>Limcoba</t>
  </si>
  <si>
    <t>Ck2406</t>
  </si>
  <si>
    <t>DMR202G01H00-02-00483</t>
  </si>
  <si>
    <t xml:space="preserve">Servidor Tipo B DELL 2850 X/3.2/4/73GB   </t>
  </si>
  <si>
    <t xml:space="preserve">103V1B1    </t>
  </si>
  <si>
    <t>Unidad de Tecnología</t>
  </si>
  <si>
    <t>CECOMSA</t>
  </si>
  <si>
    <t>DMR202G01H00-02-00500</t>
  </si>
  <si>
    <t xml:space="preserve">Servidor Tipo C DELL 2850 CD/2.8/73GB  </t>
  </si>
  <si>
    <t xml:space="preserve">4GXT1B1        </t>
  </si>
  <si>
    <t>DMR202G01H00-02-00501</t>
  </si>
  <si>
    <t xml:space="preserve">2GXT1B1  </t>
  </si>
  <si>
    <t>Santo Domingo Este</t>
  </si>
  <si>
    <t>HOSP. RAMON DE LARA / SAN ISIDRO</t>
  </si>
  <si>
    <t>Ck 2779</t>
  </si>
  <si>
    <t>DMR202G01H00-03-00025 y 28</t>
  </si>
  <si>
    <t>Jeep Toyota RAV4, Azul y Plateada, Año 2007 / Adquisicion de Dos (2) Vehiculos</t>
  </si>
  <si>
    <t xml:space="preserve">chassis: JTMBD31V905051556       y                        JTMBD31V305047406       </t>
  </si>
  <si>
    <t>Delta Comercial, CXA</t>
  </si>
  <si>
    <t>Ck 3142</t>
  </si>
  <si>
    <t>DMR202G01H00-02-00540</t>
  </si>
  <si>
    <t xml:space="preserve">Pantalla Electrica de Proyección </t>
  </si>
  <si>
    <t>Salón de Conferencia</t>
  </si>
  <si>
    <t>CODIMPSA</t>
  </si>
  <si>
    <t>La Vega</t>
  </si>
  <si>
    <t>HOSP. LUIS MORILLO KING / LA VEGA</t>
  </si>
  <si>
    <t>Ck 3139</t>
  </si>
  <si>
    <t>Archivo Metálico American, 4 gavetas, folder carta 81/2"x11", color crema</t>
  </si>
  <si>
    <t>DMR202G01H00-01-02232</t>
  </si>
  <si>
    <t>DMR202G01H00-01-02233</t>
  </si>
  <si>
    <t>DMR202G01H00-01-02234</t>
  </si>
  <si>
    <t>DMR202G01H00-01-02235</t>
  </si>
  <si>
    <t>DMR202G01H00-01-02236</t>
  </si>
  <si>
    <t>DMR202G01H00-01-02237</t>
  </si>
  <si>
    <t>Archivo Modular de 3 Gavetas ,color aluminio</t>
  </si>
  <si>
    <t>DMR202G01H00-01-02238</t>
  </si>
  <si>
    <t>DMR202G01H00-01-02239</t>
  </si>
  <si>
    <t>DMR202G01H00-01-02244</t>
  </si>
  <si>
    <t>Armario Metálico master. 2 puertas, 3 tramos 18"x36"x48", color crema</t>
  </si>
  <si>
    <t>DMR202G01H00-01-02245</t>
  </si>
  <si>
    <t>DMR202G01H00-01-02246</t>
  </si>
  <si>
    <t>DMR202G01H00-01-02252</t>
  </si>
  <si>
    <t>Bancada de 3 plazas, mod. B-301, tubo c/Lum,asiento y resp. Plastico.</t>
  </si>
  <si>
    <t>DMR202G01H00-01-02253</t>
  </si>
  <si>
    <t>DMR202G01H00-01-02254</t>
  </si>
  <si>
    <t>DMR202G01H00-01-02255</t>
  </si>
  <si>
    <t>DMR202G01H00-01-02256</t>
  </si>
  <si>
    <t>DMR202G01H00-01-02257</t>
  </si>
  <si>
    <t>DMR202G01H00-01-02258</t>
  </si>
  <si>
    <t>Base de 3 Apoyos para Mesa de conferencia, Ref. 023A,</t>
  </si>
  <si>
    <t>DMR202G01H00-01-02291</t>
  </si>
  <si>
    <t>Butaca de visita, mod. BV-gob, tela, tubo c/aluminio, importada, color negra</t>
  </si>
  <si>
    <t>DMR202G01H00-01-02292</t>
  </si>
  <si>
    <t>DMR202G01H00-01-02259</t>
  </si>
  <si>
    <t>Escritorio en Melamina, mod. Zk160, Haya, 28" x 28"</t>
  </si>
  <si>
    <t>DMR202G01H00-01-02260</t>
  </si>
  <si>
    <t>DMR202G01H00-01-02262</t>
  </si>
  <si>
    <t>DMR202G01H00-01-02263</t>
  </si>
  <si>
    <t>DMR202G01H00-01-02264</t>
  </si>
  <si>
    <t>DMR202G01H00-01-02340</t>
  </si>
  <si>
    <t>Estante con Puertas Baja, mod. 2000, en Melamina c/Haya, de 16"x36"x60"</t>
  </si>
  <si>
    <t>DMR202G01H00-01-02341</t>
  </si>
  <si>
    <t>DMR202G01H00-01-02366</t>
  </si>
  <si>
    <t>Gabinete p/panel, P:0.35mt, L:0.80mt, H: 0.43nt (131/2"x311/2"x17")</t>
  </si>
  <si>
    <t>DMR202G01H00-01-02367</t>
  </si>
  <si>
    <t>DMR202G01H00-01-02368</t>
  </si>
  <si>
    <t>DMR202G01H00-01-02369</t>
  </si>
  <si>
    <t>DMR202G01H00-01-02279</t>
  </si>
  <si>
    <t>Gaveta paraTeclado color gris</t>
  </si>
  <si>
    <t>DMR202G01H00-01-02280</t>
  </si>
  <si>
    <t>DMR202G01H00-01-02281</t>
  </si>
  <si>
    <t>DMR202G01H00-01-02282</t>
  </si>
  <si>
    <t>DMR202G01H00-01-02283</t>
  </si>
  <si>
    <t>DMR202G01H00-01-02270</t>
  </si>
  <si>
    <t>Mesa de Cafeteria Redonda, mod. MC-207, metal c/aluminio, 32"D</t>
  </si>
  <si>
    <t>Moldura de Terminación, H: 1.50mt. Cantidad: 08 Unidades.</t>
  </si>
  <si>
    <t>Moldura de Unión para 2 paredes, H: 1.50Mt. Cantidad: 04 Unidades.</t>
  </si>
  <si>
    <t>Moldura Unión tipo L, H: 1.50Mt.       Cantidad: 04 Unidades.</t>
  </si>
  <si>
    <t>DMR202G01H00-01-02272</t>
  </si>
  <si>
    <t>Panel Divisorio con tela , L:0.70 mt, H: 1.5mt, importado</t>
  </si>
  <si>
    <t>DMR202G01H00-01-02273</t>
  </si>
  <si>
    <t>DMR202G01H00-01-02274</t>
  </si>
  <si>
    <t>DMR202G01H00-01-02275</t>
  </si>
  <si>
    <t>DMR202G01H00-01-02276</t>
  </si>
  <si>
    <t>PANEL Divisorio con tela, L: 0.80mt, H: 1.5mt, importado</t>
  </si>
  <si>
    <t>DMR202G01H00-01-02277</t>
  </si>
  <si>
    <t>DMR202G01H00-01-02278</t>
  </si>
  <si>
    <t>DMR202G01H00-01-02293</t>
  </si>
  <si>
    <t>Silla de Visita, mod. VISI, en tela, tubo negro, importada, color negra</t>
  </si>
  <si>
    <t>DMR202G01H00-01-02294</t>
  </si>
  <si>
    <t>DMR202G01H00-01-02295</t>
  </si>
  <si>
    <t>DMR202G01H00-01-02296</t>
  </si>
  <si>
    <t>DMR202G01H00-01-02297</t>
  </si>
  <si>
    <t>DMR202G01H00-01-02298</t>
  </si>
  <si>
    <t>DMR202G01H00-01-02299</t>
  </si>
  <si>
    <t>DMR202G01H00-01-02300</t>
  </si>
  <si>
    <t>DMR202G01H00-01-02301</t>
  </si>
  <si>
    <t>DMR202G01H00-01-02302</t>
  </si>
  <si>
    <t>DMR202G01H00-01-02303</t>
  </si>
  <si>
    <t>DMR202G01H00-01-02304</t>
  </si>
  <si>
    <t>DMR202G01H00-01-02305</t>
  </si>
  <si>
    <t>DMR202G01H00-01-02306</t>
  </si>
  <si>
    <t>DMR202G01H00-01-02307</t>
  </si>
  <si>
    <t>DMR202G01H00-01-02308</t>
  </si>
  <si>
    <t>DMR202G01H00-01-02309</t>
  </si>
  <si>
    <t>DMR202G01H00-01-02310</t>
  </si>
  <si>
    <t>DMR202G01H00-01-02311</t>
  </si>
  <si>
    <t>DMR202G01H00-01-02312</t>
  </si>
  <si>
    <t>DMR202G01H00-01-02313</t>
  </si>
  <si>
    <t>DMR202G01H00-01-02314</t>
  </si>
  <si>
    <t>DMR202G01H00-01-02315</t>
  </si>
  <si>
    <t>DMR202G01H00-01-02316</t>
  </si>
  <si>
    <t>DMR202G01H00-01-02317</t>
  </si>
  <si>
    <t>DMR202G01H00-01-02318</t>
  </si>
  <si>
    <t>DMR202G01H00-01-02319</t>
  </si>
  <si>
    <t>DMR202G01H00-01-02320</t>
  </si>
  <si>
    <t>DMR202G01H00-01-02321</t>
  </si>
  <si>
    <t>DMR202G01H00-01-02322</t>
  </si>
  <si>
    <t>DMR202G01H00-01-02323</t>
  </si>
  <si>
    <t>DMR202G01H00-01-02324</t>
  </si>
  <si>
    <t>DMR202G01H00-01-02325</t>
  </si>
  <si>
    <t>DMR202G01H00-01-02326</t>
  </si>
  <si>
    <t>DMR202G01H00-01-02327</t>
  </si>
  <si>
    <t>DMR202G01H00-01-02328</t>
  </si>
  <si>
    <t>DMR202G01H00-01-02329</t>
  </si>
  <si>
    <t>DMR202G01H00-01-02330</t>
  </si>
  <si>
    <t>DMR202G01H00-01-02331</t>
  </si>
  <si>
    <t>DMR202G01H00-01-02332</t>
  </si>
  <si>
    <t>DMR202G01H00-01-02333</t>
  </si>
  <si>
    <t>DMR202G01H00-01-02334</t>
  </si>
  <si>
    <t>DMR202G01H00-01-02335</t>
  </si>
  <si>
    <t>DMR202G01H00-01-02336</t>
  </si>
  <si>
    <t>Silla Secretaria;, mod. Trans, sist. Contacto permanente, importada.</t>
  </si>
  <si>
    <t>DMR202G01H00-01-02285</t>
  </si>
  <si>
    <t>DMR202G01H00-01-02286</t>
  </si>
  <si>
    <t>Santo Domingo Este descargado 2022</t>
  </si>
  <si>
    <t>Ck. 730</t>
  </si>
  <si>
    <t>DMR202G01H00-01-04130</t>
  </si>
  <si>
    <t>Archivo Modular de 3 Gavetas Metalicos</t>
  </si>
  <si>
    <t>RED DOM. DE PERSONAS VIVIENDO CON VIH / REDOVIH</t>
  </si>
  <si>
    <t>AMERICAN BUSINNES MACHINE</t>
  </si>
  <si>
    <t>DMR202G01H00-01-04131</t>
  </si>
  <si>
    <t>Ck. 802</t>
  </si>
  <si>
    <t>DMR202G01H00-02-00908</t>
  </si>
  <si>
    <t>Proyector Multimedia Epson S4</t>
  </si>
  <si>
    <t>J3VG684825F</t>
  </si>
  <si>
    <t>Ck 4962</t>
  </si>
  <si>
    <t>DMR202G01H00-01-01560</t>
  </si>
  <si>
    <t xml:space="preserve">Mesa de Centro Mod. MC-501  </t>
  </si>
  <si>
    <t>Recepción</t>
  </si>
  <si>
    <t>DMR202G01H00-01-01561</t>
  </si>
  <si>
    <t xml:space="preserve">Sofa Mod. Karina de 1 Plaza en Tela   </t>
  </si>
  <si>
    <t>DMR202G01H00-01-01562</t>
  </si>
  <si>
    <t>Ck 5104</t>
  </si>
  <si>
    <t>DMR202G01H00-05-01228</t>
  </si>
  <si>
    <t>Balanza de piso mecanica</t>
  </si>
  <si>
    <t>Electromedica, S. A.</t>
  </si>
  <si>
    <t>DMR202G01H00-05-01237</t>
  </si>
  <si>
    <t>Higuey</t>
  </si>
  <si>
    <t>HOSP. NTRA. SRA. ALTAGRACIA / HIGUEY</t>
  </si>
  <si>
    <t>DMR202G01H00-05-01223</t>
  </si>
  <si>
    <t>CENTRO SANITARIO DE SANTO DOMINGO</t>
  </si>
  <si>
    <t>DMR202G01H00-05-01233</t>
  </si>
  <si>
    <t>Valverde Mao</t>
  </si>
  <si>
    <t>HOSP. LUIS BOGAERT / VALVERDE MAO</t>
  </si>
  <si>
    <t>Ck 7661</t>
  </si>
  <si>
    <t>DMR202G01H00-05-01326</t>
  </si>
  <si>
    <t>HOSP. ROBERT REID CABRAL</t>
  </si>
  <si>
    <t>DMR202G01H00-05-01327</t>
  </si>
  <si>
    <t>DMR202G01H00-05-01328</t>
  </si>
  <si>
    <t>Ck 7687</t>
  </si>
  <si>
    <t>DMR202G01H00-05-01354</t>
  </si>
  <si>
    <t xml:space="preserve">Vitrina de Medicamentos Metálica de 2 Cuerpos  </t>
  </si>
  <si>
    <t>DMR202G01H00-01-03147</t>
  </si>
  <si>
    <t>Archivo de 3 Gavetas</t>
  </si>
  <si>
    <t>DMR202G01H00-01-03148</t>
  </si>
  <si>
    <t>DMR202G01H00-01-03149</t>
  </si>
  <si>
    <t>DMR202G01H00-01-03150</t>
  </si>
  <si>
    <t>DMR202G01H00-01-03151</t>
  </si>
  <si>
    <t>DMR202G01H00-01-03152</t>
  </si>
  <si>
    <t>DMR202G01H00-01-03153</t>
  </si>
  <si>
    <t>DMR202G01H00-01-03154</t>
  </si>
  <si>
    <t>DMR202G01H00-01-03138</t>
  </si>
  <si>
    <t>Armario Metálico de 2 Puertas con llave</t>
  </si>
  <si>
    <t>DMR202G01H00-01-03131</t>
  </si>
  <si>
    <t>Archivo Metálico de 4 gavetas</t>
  </si>
  <si>
    <t>DMR202G01H00-01-03132</t>
  </si>
  <si>
    <t>DMR202G01H00-01-03133</t>
  </si>
  <si>
    <t>DMR202G01H00-01-03134</t>
  </si>
  <si>
    <t>DMR202G01H00-01-03137</t>
  </si>
  <si>
    <t>DMR202G01H00-01-03161</t>
  </si>
  <si>
    <t>Bandeja para teclado</t>
  </si>
  <si>
    <t>DMR202G01H00-01-03162</t>
  </si>
  <si>
    <t>DMR202G01H00-01-03163</t>
  </si>
  <si>
    <t>DMR202G01H00-01-03164</t>
  </si>
  <si>
    <t>DMR202G01H00-01-03173</t>
  </si>
  <si>
    <t>Escritorio en melamina 28" x 48", color haya</t>
  </si>
  <si>
    <t>DMR202G01H00-01-03174</t>
  </si>
  <si>
    <t>DMR202G01H00-01-03175</t>
  </si>
  <si>
    <t>DMR202G01H00-01-03165</t>
  </si>
  <si>
    <t>Escritorio Tipo L 28" x 48" y mesa lateral 18" x 40", color haya</t>
  </si>
  <si>
    <t>DMR202G01H00-01-03166</t>
  </si>
  <si>
    <t>DMR202G01H00-01-03167</t>
  </si>
  <si>
    <t>DMR202G01H00-01-03168</t>
  </si>
  <si>
    <t>DMR202G01H00-01-03169</t>
  </si>
  <si>
    <t>DMR202G01H00-01-03170</t>
  </si>
  <si>
    <t>DMR202G01H00-01-03171</t>
  </si>
  <si>
    <t>Escritorio Tipo L 28" x 55" y mesa lateral 18" x 40", color haya</t>
  </si>
  <si>
    <t>DMR202G01H00-01-03188</t>
  </si>
  <si>
    <t>Mueble para visitas de 2 personas, tapizado en tela color negro</t>
  </si>
  <si>
    <t>DMR202G01H00-01-03189</t>
  </si>
  <si>
    <t>Mueble para visitas de 3 personas, tapizado en tela color negro</t>
  </si>
  <si>
    <t>DMR202G01H00-01-03239</t>
  </si>
  <si>
    <t xml:space="preserve">Nevera Ejecutiva (TA-04Y04EX) General Electric  </t>
  </si>
  <si>
    <t>DMR202G01H00-01-03182</t>
  </si>
  <si>
    <t>Silla de visita</t>
  </si>
  <si>
    <t>Santo Domingo, D.N. Descargado/2022</t>
  </si>
  <si>
    <t>DMR202G01H00-01-03183</t>
  </si>
  <si>
    <t>Santo Domingo, D.N. Descargado/2023</t>
  </si>
  <si>
    <t>DMR202G01H00-01-03184</t>
  </si>
  <si>
    <t>Santo Domingo, D.N. Descargado/2024</t>
  </si>
  <si>
    <t>DMR202G01H00-01-03185</t>
  </si>
  <si>
    <t>Santo Domingo, D.N. Descargado/2025</t>
  </si>
  <si>
    <t>DMR202G01H00-01-03186</t>
  </si>
  <si>
    <t>Santo Domingo, D.N. Descargado/2026</t>
  </si>
  <si>
    <t>DMR202G01H00-01-03218</t>
  </si>
  <si>
    <t>Sillones Semi Ejecutivos, tapizado en tela color negro</t>
  </si>
  <si>
    <t>DMR202G01H00-01-03219</t>
  </si>
  <si>
    <t>DMR202G01H00-01-03220</t>
  </si>
  <si>
    <t>DMR202G01H00-01-03221</t>
  </si>
  <si>
    <t>DMR202G01H00-01-03222</t>
  </si>
  <si>
    <t>Ck. 1532 / 1534</t>
  </si>
  <si>
    <t>DMR202G01H00-01-04142</t>
  </si>
  <si>
    <t>Armario Metalico 18 x 36 x 72</t>
  </si>
  <si>
    <t>DMR202G01H00-01-04143</t>
  </si>
  <si>
    <t>DMR202G01H00-01-04144</t>
  </si>
  <si>
    <t>Archivo Modular de 3 Gavetas Tipo Lapiz</t>
  </si>
  <si>
    <t>DMR202G01H00-01-04139</t>
  </si>
  <si>
    <t>Escritorio en Melanina Tipo L</t>
  </si>
  <si>
    <t>DMR202G01H00-01-04140</t>
  </si>
  <si>
    <t xml:space="preserve">Escritorio en Melanina Tipo L </t>
  </si>
  <si>
    <t>Ck 8537</t>
  </si>
  <si>
    <t>DMR202G01H00-05-01340</t>
  </si>
  <si>
    <t>Camilla</t>
  </si>
  <si>
    <t>Ck. 230</t>
  </si>
  <si>
    <t>DMR202G01H00-01-04028</t>
  </si>
  <si>
    <t>Nevera NEDOCA 16" Cúbico</t>
  </si>
  <si>
    <t>NF40PW1GTA</t>
  </si>
  <si>
    <t>La Romana</t>
  </si>
  <si>
    <t>ALMACENES IBERIAS</t>
  </si>
  <si>
    <t>DMR202G01H00-01-04029</t>
  </si>
  <si>
    <t>Ck 8790</t>
  </si>
  <si>
    <t>Archivo Metalico de 4 Gavetas</t>
  </si>
  <si>
    <t>Montecristi</t>
  </si>
  <si>
    <t>HOSP. MUN. CASTAÑUELA / MONTECRISTI</t>
  </si>
  <si>
    <t>Muñoz Comcepto Mobiliario, S. A</t>
  </si>
  <si>
    <t xml:space="preserve">Archivo Modular de 3 Gavetas    </t>
  </si>
  <si>
    <t>DMR202G01H00-01-03541</t>
  </si>
  <si>
    <t>Escritorio en Melamina 28" x 48"</t>
  </si>
  <si>
    <t>DMR202G01H00-01-03543</t>
  </si>
  <si>
    <t>Mesa Redonda en Melamina 28" x 48"</t>
  </si>
  <si>
    <t>Ck. 8802</t>
  </si>
  <si>
    <t>DMR202G01H00-01-03766</t>
  </si>
  <si>
    <t>Santiago de los Caballeros</t>
  </si>
  <si>
    <t>HOSP. INFANTIL ARTURO GRULLON / SANTIAGO</t>
  </si>
  <si>
    <t>ADQ. DIRECTAMENTE POR CONTRATISTA</t>
  </si>
  <si>
    <t>DMR202G01H00-01-03768</t>
  </si>
  <si>
    <t>DMR202G01H00-01-03756</t>
  </si>
  <si>
    <t xml:space="preserve">Archivo Vertical de 4 Gavetas    </t>
  </si>
  <si>
    <t>DMR202G01H00-01-03757</t>
  </si>
  <si>
    <t>DMR202G01H00-02-00755</t>
  </si>
  <si>
    <t>Computador Tipo CLON, Incluye: UPS Mark de 500W</t>
  </si>
  <si>
    <t>DMR202G01H00-01-03728</t>
  </si>
  <si>
    <t xml:space="preserve">Escritorio en Melamina 28 x 55    </t>
  </si>
  <si>
    <t>DMR202G01H00-01-03729</t>
  </si>
  <si>
    <t>DMR202G01H00-01-03730</t>
  </si>
  <si>
    <t>DMR202G01H00-01-03761</t>
  </si>
  <si>
    <t xml:space="preserve">Librero Tipo Credenza con Puertas Bajas     </t>
  </si>
  <si>
    <t>DMR202G01H00-01-03762</t>
  </si>
  <si>
    <t>DMR202G01H00-01-03763</t>
  </si>
  <si>
    <t xml:space="preserve">Mesa Redonda en Melanina y Base Metalica   </t>
  </si>
  <si>
    <t>DMR202G01H00-01-03765</t>
  </si>
  <si>
    <t>DMR202G01H00-01-03731</t>
  </si>
  <si>
    <t xml:space="preserve">Silla para Visita en Tela y Color Negra       </t>
  </si>
  <si>
    <t>DMR202G01H00-01-03732</t>
  </si>
  <si>
    <t>DMR202G01H00-01-03753</t>
  </si>
  <si>
    <t xml:space="preserve">Sillon Semi-Ejecutivo    </t>
  </si>
  <si>
    <t>DMR202G01H00-01-03754</t>
  </si>
  <si>
    <t>DMR202G01H00-05-01465</t>
  </si>
  <si>
    <t xml:space="preserve">Balanza de Adultos con Tallimetro     </t>
  </si>
  <si>
    <t>DMR202G01H00-05-01466</t>
  </si>
  <si>
    <t>DMR202G01H00-01-03748</t>
  </si>
  <si>
    <t xml:space="preserve">Banqueta de 4 Personas   </t>
  </si>
  <si>
    <t>Santiago de los Caballeros descargada/2022</t>
  </si>
  <si>
    <t xml:space="preserve">Banqueta de 5 Personas     </t>
  </si>
  <si>
    <t>DMR202G01H00-01-03746</t>
  </si>
  <si>
    <t>DMR202G01H00-01-03747</t>
  </si>
  <si>
    <t xml:space="preserve">Camilla de Examen de 3 Posiciones   </t>
  </si>
  <si>
    <t>DMR202G01H00-05-01463</t>
  </si>
  <si>
    <t>DMR202G01H00-05-01464</t>
  </si>
  <si>
    <t>DMR202G01H00-01-03752</t>
  </si>
  <si>
    <t xml:space="preserve">Counter de Recepcion en Melamina    </t>
  </si>
  <si>
    <t xml:space="preserve">Mesa Auxiliar      </t>
  </si>
  <si>
    <t>DMR202G01H00-05-01487</t>
  </si>
  <si>
    <t>DMR202G01H00-05-01480</t>
  </si>
  <si>
    <t xml:space="preserve">Set de Diagnostico Portatil      </t>
  </si>
  <si>
    <t>DMR202G01H00-05-01483</t>
  </si>
  <si>
    <t xml:space="preserve">Vitrina de Medicamentos de 2 Cuerpo    </t>
  </si>
  <si>
    <t>DMR202G01H00-05-01484</t>
  </si>
  <si>
    <t>Ck. 1768       SUB-BENEF.</t>
  </si>
  <si>
    <t>DMR202G01H00-02-01322</t>
  </si>
  <si>
    <t>UPS Central PowerWare No.9155 De 15WVA/13,5KW</t>
  </si>
  <si>
    <t>BB505FBB04</t>
  </si>
  <si>
    <t>PROGRAMA DE MEDICAMENTOS DE ALTO COSTO</t>
  </si>
  <si>
    <t>MUEBLES DE OFICINA</t>
  </si>
  <si>
    <t>OMEGA TECH, S.A.</t>
  </si>
  <si>
    <t>Ck. 710515</t>
  </si>
  <si>
    <t>DMR202G01H00-01-03970</t>
  </si>
  <si>
    <t>Archivo Modular de 3 Gavetas</t>
  </si>
  <si>
    <t>ALIANZA SOLID. P/L CONTRA EL VIH / ASOLSIDA</t>
  </si>
  <si>
    <t>DMR202G01H00-01-03971</t>
  </si>
  <si>
    <t>DMR202G01H00-01-03972</t>
  </si>
  <si>
    <t>DMR202G01H00-01-03973</t>
  </si>
  <si>
    <t>DMR202G01H00-01-03974</t>
  </si>
  <si>
    <t>DMR202G01H00-01-03975</t>
  </si>
  <si>
    <t>Ck. 1917 y 1979</t>
  </si>
  <si>
    <t>DMR202G01H00-01-04152</t>
  </si>
  <si>
    <t>Archivo Metalico de 4 Gavetas, National</t>
  </si>
  <si>
    <t>DM PAPELERIA, C X A.</t>
  </si>
  <si>
    <t>DMR202G01H00-01-04153</t>
  </si>
  <si>
    <t>DMR202G01H00-01-04154</t>
  </si>
  <si>
    <t>DMR202G01H00-01-04155</t>
  </si>
  <si>
    <t>DMR202G01H00-01-04156</t>
  </si>
  <si>
    <t>Ck. 74</t>
  </si>
  <si>
    <t>DMR202G01H00-01-03976</t>
  </si>
  <si>
    <t>Inversor Platinium de 5 Kilo. Incluye: 8 Baterias BLAZE e Instalacion.</t>
  </si>
  <si>
    <t>ELECTRICA FG</t>
  </si>
  <si>
    <t>Ck. 9902</t>
  </si>
  <si>
    <t>DMR202G01H00-05-01493</t>
  </si>
  <si>
    <t xml:space="preserve">Escabel de 1 Paso / Banquito de Pies      </t>
  </si>
  <si>
    <t>Miches</t>
  </si>
  <si>
    <t>HOSP. GRAL. MUN. DE MICHES</t>
  </si>
  <si>
    <t>PROMEDICA, C X A.</t>
  </si>
  <si>
    <t>DMR202G01H00-05-01497</t>
  </si>
  <si>
    <t xml:space="preserve">Set de Diagnostico de Pared  </t>
  </si>
  <si>
    <t>Ck. 9903</t>
  </si>
  <si>
    <t>DMR202G01H00-01-03905</t>
  </si>
  <si>
    <t xml:space="preserve">Archivo Modular de 3 Gavetas  </t>
  </si>
  <si>
    <t>MEDIEQUIPOS, S.A.</t>
  </si>
  <si>
    <t>DMR202G01H00-05-01498</t>
  </si>
  <si>
    <t>DMR202G01H00-01-03906</t>
  </si>
  <si>
    <t>Escritorio en Melamina 1,40 x 0,70</t>
  </si>
  <si>
    <t>DMR202G01H00-01-03907</t>
  </si>
  <si>
    <t>Mesa Redonda de 4 Personas</t>
  </si>
  <si>
    <t>DMR202G01H00-01-03909</t>
  </si>
  <si>
    <t xml:space="preserve">Silla de Visita en Tela y Color Negra    </t>
  </si>
  <si>
    <t>DMR202G01H00-01-03910</t>
  </si>
  <si>
    <t>DMR202G01H00-01-03911</t>
  </si>
  <si>
    <t>DMR202G01H00-01-03912</t>
  </si>
  <si>
    <t>DMR202G01H00-01-03913</t>
  </si>
  <si>
    <t>DMR202G01H00-01-03914</t>
  </si>
  <si>
    <t>DMR202G01H00-01-03915</t>
  </si>
  <si>
    <t>DMR202G01H00-01-03916</t>
  </si>
  <si>
    <t>DMR202G01H00-01-03917</t>
  </si>
  <si>
    <t>DMR202G01H00-01-03918</t>
  </si>
  <si>
    <t>DMR202G01H00-01-03919</t>
  </si>
  <si>
    <t>DMR202G01H00-01-03920</t>
  </si>
  <si>
    <t>DMR202G01H00-01-03921</t>
  </si>
  <si>
    <t>DMR202G01H00-01-03908</t>
  </si>
  <si>
    <t>Sillón Semi-Ejecutivo en Tela Negra</t>
  </si>
  <si>
    <t>Ck. 9905</t>
  </si>
  <si>
    <t>DMR202G01H00-01-03900</t>
  </si>
  <si>
    <t xml:space="preserve">Archivo Metalico de 4 Gavetas  </t>
  </si>
  <si>
    <t>DMR202G01H00-01-03901</t>
  </si>
  <si>
    <t>HOSPILAB, S.A.</t>
  </si>
  <si>
    <t>DMR202G01H00-01-03930</t>
  </si>
  <si>
    <t xml:space="preserve">Base Aerea para TV de 14 a 24"     </t>
  </si>
  <si>
    <t>DMR202G01H00-05-01492</t>
  </si>
  <si>
    <t xml:space="preserve">Negatoscopio de 1 Cuerpo  </t>
  </si>
  <si>
    <t>Ck. 696</t>
  </si>
  <si>
    <t>DMR202G01H00-01-04676</t>
  </si>
  <si>
    <t>Silla Plástica Rimax Fiesta II, Color  Blanca 2120, Cantidad: 24 UDS.</t>
  </si>
  <si>
    <t>DMR202G01H00-01-04673</t>
  </si>
  <si>
    <t>Armario en Metal de 2 Puertas con Cerradura y 5 Espacio.</t>
  </si>
  <si>
    <t xml:space="preserve">Camilla de Examen de 3 Posiciones  </t>
  </si>
  <si>
    <t>Ck. 758</t>
  </si>
  <si>
    <t>DMR202G01H00-01-04688</t>
  </si>
  <si>
    <t>Mesa Plegadiza de 30 x 72 Lamex</t>
  </si>
  <si>
    <t>AMIGOS SIEMPRE AMIGOS / ASA</t>
  </si>
  <si>
    <t>SUMIOF</t>
  </si>
  <si>
    <t>DMR202G01H00-01-04689</t>
  </si>
  <si>
    <t>BIONUCLEAR</t>
  </si>
  <si>
    <t>Ck. 846</t>
  </si>
  <si>
    <t>DMR202G01H00-02-01036</t>
  </si>
  <si>
    <t>Proyector Epson PowerLite S6</t>
  </si>
  <si>
    <t>H283420</t>
  </si>
  <si>
    <t>Ck. 849</t>
  </si>
  <si>
    <t>DMR202G01H00-01-04692</t>
  </si>
  <si>
    <t>Calculadora Sharp-El 1801P y 4 Tijera 7" Maped en Acero Inoxidable.</t>
  </si>
  <si>
    <t>DMR202G01H00-01-04695</t>
  </si>
  <si>
    <t>Rotafolio Base Madera de 26x34 C/Pizarra y 4 Tabla con Gancho x 11</t>
  </si>
  <si>
    <t xml:space="preserve">Ck. 10308 y </t>
  </si>
  <si>
    <t>DMR202G01H00-01-04251</t>
  </si>
  <si>
    <t>Constanza</t>
  </si>
  <si>
    <t>HOSP. MUN. PEDRO A. CESPEDES / CONSTANZA</t>
  </si>
  <si>
    <t>LEON, G.</t>
  </si>
  <si>
    <t>DMR202G01H00-01-04252</t>
  </si>
  <si>
    <t>DMR202G01H00-01-04257</t>
  </si>
  <si>
    <t>DMR202G01H00-01-04258</t>
  </si>
  <si>
    <t>Ck. 10306</t>
  </si>
  <si>
    <t>DMR202G01H00-05-01554</t>
  </si>
  <si>
    <t>Balanza de Adultos con Tallimetro</t>
  </si>
  <si>
    <t>Monseñor Nouel, Bonao</t>
  </si>
  <si>
    <t>HOSP. PEDRO E. DE MARCHENA / BONAO</t>
  </si>
  <si>
    <t>DMR202G01H00-01-04219</t>
  </si>
  <si>
    <t>DMR202G01H00-01-04220</t>
  </si>
  <si>
    <t>Monitores Financiero 2do nivel (Antes -Monseñor Nouel, Bonao)</t>
  </si>
  <si>
    <t>DMR202G01H00-01-04221</t>
  </si>
  <si>
    <t>DMR202G01H00-01-04222</t>
  </si>
  <si>
    <t>DMR202G01H00-01-04223</t>
  </si>
  <si>
    <t>DMR202G01H00-01-04224</t>
  </si>
  <si>
    <t>DMR202G01H00-01-04225</t>
  </si>
  <si>
    <t>DMR202G01H00-05-01687</t>
  </si>
  <si>
    <t>Boca Chica</t>
  </si>
  <si>
    <t xml:space="preserve">HOSP. LOCAL BOCA CHICA  </t>
  </si>
  <si>
    <t>DMR202G01H00-05-01613</t>
  </si>
  <si>
    <t>Samaná</t>
  </si>
  <si>
    <t>HOSP. LEOPOLDO POU / SAMANA</t>
  </si>
  <si>
    <t>DMR202G01H00-01-04318</t>
  </si>
  <si>
    <t>DMR202G01H00-01-04319</t>
  </si>
  <si>
    <t>DMR202G01H00-01-04320</t>
  </si>
  <si>
    <t>DMR202G01H00-01-04321</t>
  </si>
  <si>
    <t>DMR202G01H00-05-01594</t>
  </si>
  <si>
    <t>San Francisco de Macoris</t>
  </si>
  <si>
    <t>HOSP. SAN VICENTE DE PAUL / SFM</t>
  </si>
  <si>
    <t>DMR202G01H00-05-01595</t>
  </si>
  <si>
    <t>DMR202G01H00-01-04288</t>
  </si>
  <si>
    <t>DMR202G01H00-01-04289</t>
  </si>
  <si>
    <t>DMR202G01H00-01-04292</t>
  </si>
  <si>
    <t>Banqueta de 4 Personas</t>
  </si>
  <si>
    <t>DMR202G01H00-01-04290</t>
  </si>
  <si>
    <t>DMR202G01H00-01-04291</t>
  </si>
  <si>
    <t>DMR202G01H00-01-04293</t>
  </si>
  <si>
    <t>CENTRO MATERNO INFANTIL SAN LORENZO DE LOS MINAS</t>
  </si>
  <si>
    <t>DMR202G01H00-01-04489</t>
  </si>
  <si>
    <t>DMR202G01H00-01-04490</t>
  </si>
  <si>
    <t>DMR202G01H00-01-04499</t>
  </si>
  <si>
    <t>DMR202G01H00-01-04500</t>
  </si>
  <si>
    <t>DMR202G01H00-01-04494</t>
  </si>
  <si>
    <t>DMR202G01H00-01-04495</t>
  </si>
  <si>
    <t>DMR202G01H00-01-04496</t>
  </si>
  <si>
    <t>DMR202G01H00-01-04572</t>
  </si>
  <si>
    <t>DMR202G01H00-05-01697</t>
  </si>
  <si>
    <t>CENTRO ATENCION PRIMARIA / SAN LUIS</t>
  </si>
  <si>
    <t>DMR202G01H00-05-01698</t>
  </si>
  <si>
    <t>Ck. 10582</t>
  </si>
  <si>
    <t>DMR202G01H00-05-01541</t>
  </si>
  <si>
    <t>Vitrina para Medicamentos</t>
  </si>
  <si>
    <t>Puerto Plata</t>
  </si>
  <si>
    <t>CENTRO DE PROMOCION Y SOL. HUMANA / CEPROSH</t>
  </si>
  <si>
    <t>DMR202G01H00-05-01538</t>
  </si>
  <si>
    <t>DMR202G01H00-05-01539</t>
  </si>
  <si>
    <t>DMR202G01H00-05-01532</t>
  </si>
  <si>
    <t>DMR202G01H00-05-01533</t>
  </si>
  <si>
    <t>DMR202G01H00-05-01540</t>
  </si>
  <si>
    <t>Santo Domingo. D.N.</t>
  </si>
  <si>
    <t>INST. DOM. DE ESTUDIO VIROLOGICO</t>
  </si>
  <si>
    <t>Contrato de Adecuación</t>
  </si>
  <si>
    <t xml:space="preserve">Librero Tipo Credenza con Puertas Bajas </t>
  </si>
  <si>
    <t>Silla de Visita en Tela y Color Negra</t>
  </si>
  <si>
    <t>DMR202G01H00-01-04399</t>
  </si>
  <si>
    <t>Abanico de Techo, Marca: KDK</t>
  </si>
  <si>
    <t>Azua, Peralta</t>
  </si>
  <si>
    <t>HOSP. MUN. DE PERALTA / AZUA</t>
  </si>
  <si>
    <t>DMR202G01H00-01-04398</t>
  </si>
  <si>
    <t>DMR202G01H00-01-04401</t>
  </si>
  <si>
    <t>DMR202G01H00-01-04402</t>
  </si>
  <si>
    <t>DMR202G01H00-01-04403</t>
  </si>
  <si>
    <t>DMR202G01H00-01-04404</t>
  </si>
  <si>
    <t>DMR202G01H00-01-04405</t>
  </si>
  <si>
    <t>DMR202G01H00-01-04406</t>
  </si>
  <si>
    <t>DMR202G01H00-01-04407</t>
  </si>
  <si>
    <t>DMR202G01H00-01-04408</t>
  </si>
  <si>
    <t>DMR202G01H00-01-04409</t>
  </si>
  <si>
    <t>DMR202G01H00-01-04410</t>
  </si>
  <si>
    <t>Abanico de Pared, Marca: Daiwa</t>
  </si>
  <si>
    <t>HOSP. MUN. DE NIZAO / BANI</t>
  </si>
  <si>
    <t>DMR202G01H00-01-04378</t>
  </si>
  <si>
    <t>nizao, Bani</t>
  </si>
  <si>
    <t>DMR202G01H00-01-04372</t>
  </si>
  <si>
    <t>DMR202G01H00-01-04373</t>
  </si>
  <si>
    <t>DMR202G01H00-01-04374</t>
  </si>
  <si>
    <t>DMR202G01H00-05-01636</t>
  </si>
  <si>
    <t>DMR202G01H00-01-04387</t>
  </si>
  <si>
    <t>Banqueta de 5 Personas</t>
  </si>
  <si>
    <t>DMR202G01H00-01-04380</t>
  </si>
  <si>
    <t>DMR202G01H00-01-04382</t>
  </si>
  <si>
    <t>DMR202G01H00-01-04383</t>
  </si>
  <si>
    <t>DMR202G01H00-01-04384</t>
  </si>
  <si>
    <t>DMR202G01H00-01-04385</t>
  </si>
  <si>
    <t>DMR202G01H00-01-04386</t>
  </si>
  <si>
    <t>DMR202G01H00-01-04381</t>
  </si>
  <si>
    <t>Sillón Ejecutivo en Tela Azul</t>
  </si>
  <si>
    <t>DMR202G01H00-05-01635</t>
  </si>
  <si>
    <t>Vitrina para Medicamentos de 1 Cuerpo</t>
  </si>
  <si>
    <t>DMR202G01H00-01-04390</t>
  </si>
  <si>
    <t>Aire Acondicionado de 9,000 BTU, Marca: MILLER</t>
  </si>
  <si>
    <t>HOSP. MUN. DE VILLA FUNDACION / BANI</t>
  </si>
  <si>
    <t>DMR202G01H00-01-04388</t>
  </si>
  <si>
    <t>DMR202G01H00-01-04389</t>
  </si>
  <si>
    <t>Bebedero de Botellon American, Mod. BE-55</t>
  </si>
  <si>
    <t>DMR202G01H00-01-04392</t>
  </si>
  <si>
    <t>DMR202G01H00-01-04393</t>
  </si>
  <si>
    <t>DMR202G01H00-01-04394</t>
  </si>
  <si>
    <t>DMR202G01H00-01-04395</t>
  </si>
  <si>
    <t>DMR202G01H00-01-04396</t>
  </si>
  <si>
    <t>Ck. 10687</t>
  </si>
  <si>
    <t>DMR202G01H00-02-00956</t>
  </si>
  <si>
    <t>Computador Dell Vostro 200MT</t>
  </si>
  <si>
    <t>CNFTLJ1 /  CN-0R034G-64180-92R-622M</t>
  </si>
  <si>
    <t>DMR202G01H00-02-00957</t>
  </si>
  <si>
    <t>Impresora HP Laser Jet P1006</t>
  </si>
  <si>
    <t xml:space="preserve">VND3B63041 </t>
  </si>
  <si>
    <t>DMR202G01H00-02-00962</t>
  </si>
  <si>
    <t>C7CGYH1 / CN-0R034G-64180-92R-5DQM</t>
  </si>
  <si>
    <t>DMR202G01H00-02-00963</t>
  </si>
  <si>
    <t>VND3B63148</t>
  </si>
  <si>
    <t>DMR202G01H00-02-00966</t>
  </si>
  <si>
    <t xml:space="preserve">VND3B63147    </t>
  </si>
  <si>
    <t>Ck. 10827</t>
  </si>
  <si>
    <t>UPS CDP 500 VA</t>
  </si>
  <si>
    <t>ROSA NADAR &amp; ASOCIADOS</t>
  </si>
  <si>
    <t>DMR202G01H00-02-00964</t>
  </si>
  <si>
    <t>090106-1290842</t>
  </si>
  <si>
    <t>DMR202G01H00-01-04263</t>
  </si>
  <si>
    <t>DMR202G01H00-01-04255</t>
  </si>
  <si>
    <t>Banqueta de 3 Personas</t>
  </si>
  <si>
    <t>DMR202G01H00-01-04261</t>
  </si>
  <si>
    <t>Librero Tipo Credenza con Puertas Bajas</t>
  </si>
  <si>
    <t>DMR202G01H00-01-04256</t>
  </si>
  <si>
    <t>DMR202G01H00-01-04259</t>
  </si>
  <si>
    <t>DMR202G01H00-01-04260</t>
  </si>
  <si>
    <t>DMR202G01H00-01-04349</t>
  </si>
  <si>
    <t>DMR202G01H00-01-04350</t>
  </si>
  <si>
    <t>Ck. 10305 y 11013</t>
  </si>
  <si>
    <t>DMR202G01H00-05-01575</t>
  </si>
  <si>
    <t xml:space="preserve">Mesa Auxiliar </t>
  </si>
  <si>
    <t>DMR202G01H00-05-01579</t>
  </si>
  <si>
    <t>Negatoscopio de 1 Cuerpo</t>
  </si>
  <si>
    <t>DMR202G01H00-05-01583</t>
  </si>
  <si>
    <t>DMR202G01H00-05-01556</t>
  </si>
  <si>
    <t>DMR202G01H00-05-01562</t>
  </si>
  <si>
    <t>DMR202G01H00-05-01718</t>
  </si>
  <si>
    <t>Villa Altagracia</t>
  </si>
  <si>
    <t>HOSP. MUN. DE VILLA ALTAGRACIA</t>
  </si>
  <si>
    <t>DMR202G01H00-05-01615</t>
  </si>
  <si>
    <t>DMR202G01H00-05-01616</t>
  </si>
  <si>
    <t>DMR202G01H00-05-01617</t>
  </si>
  <si>
    <t>DMR202G01H00-05-01618</t>
  </si>
  <si>
    <t>DMR202G01H00-05-01620</t>
  </si>
  <si>
    <t>DMR202G01H00-05-01621</t>
  </si>
  <si>
    <t>DMR202G01H00-05-01596</t>
  </si>
  <si>
    <t>DMR202G01H00-05-01598</t>
  </si>
  <si>
    <t>DMR202G01H00-05-01600</t>
  </si>
  <si>
    <t>DMR202G01H00-05-01661</t>
  </si>
  <si>
    <t>DMR202G01H00-05-01662</t>
  </si>
  <si>
    <t>DMR202G01H00-05-01699</t>
  </si>
  <si>
    <t>DMR202G01H00-05-01700</t>
  </si>
  <si>
    <t>DMR202G01H00-05-01703</t>
  </si>
  <si>
    <t>Ck. 10304 y 11141</t>
  </si>
  <si>
    <t>DMR202G01H00-05-01582</t>
  </si>
  <si>
    <t>Escabel de 1 Paso</t>
  </si>
  <si>
    <t>DMR202G01H00-05-01557</t>
  </si>
  <si>
    <t>DMR202G01H00-05-01558</t>
  </si>
  <si>
    <t>Ck. 10309 y 11143</t>
  </si>
  <si>
    <t>DMR202G01H00-01-04233</t>
  </si>
  <si>
    <t>LIMCOBA</t>
  </si>
  <si>
    <t>DMR202G01H00-01-04230</t>
  </si>
  <si>
    <t>DMR202G01H00-01-04234</t>
  </si>
  <si>
    <t>Escritorio en Melamina 1,20 x 0,70</t>
  </si>
  <si>
    <t>DMR202G01H00-01-04235</t>
  </si>
  <si>
    <t>DMR202G01H00-05-01716</t>
  </si>
  <si>
    <t>DMR202G01H00-05-01719</t>
  </si>
  <si>
    <t>DMR202G01H00-01-04641</t>
  </si>
  <si>
    <t>DMR202G01H00-01-04451</t>
  </si>
  <si>
    <t>DMR202G01H00-05-01625</t>
  </si>
  <si>
    <t>DMR202G01H00-01-04336</t>
  </si>
  <si>
    <t>Nevera Ejecutiva de 5 Pies American, Mod. 130-N</t>
  </si>
  <si>
    <t>DMR202G01H00-05-01603</t>
  </si>
  <si>
    <t>DMR202G01H00-05-01604</t>
  </si>
  <si>
    <t>DMR202G01H00-01-04306</t>
  </si>
  <si>
    <t>DMR202G01H00-01-04307</t>
  </si>
  <si>
    <t>DMR202G01H00-01-04309</t>
  </si>
  <si>
    <t>DMR202G01H00-01-04310</t>
  </si>
  <si>
    <t>DMR202G01H00-01-04311</t>
  </si>
  <si>
    <t>DMR202G01H00-01-04308</t>
  </si>
  <si>
    <t>DMR202G01H00-01-04304</t>
  </si>
  <si>
    <t>DMR202G01H00-01-04312</t>
  </si>
  <si>
    <t>DMR202G01H00-05-01665</t>
  </si>
  <si>
    <t>DMR202G01H00-05-01666</t>
  </si>
  <si>
    <t>DMR202G01H00-05-01670</t>
  </si>
  <si>
    <t>DMR202G01H00-05-01671</t>
  </si>
  <si>
    <t>DMR202G01H00-01-04525</t>
  </si>
  <si>
    <t>DMR202G01H00-01-04526</t>
  </si>
  <si>
    <t>DMR202G01H00-01-04507</t>
  </si>
  <si>
    <t>Counter de Recepcion</t>
  </si>
  <si>
    <t>DMR202G01H00-01-04508</t>
  </si>
  <si>
    <t>DMR202G01H00-01-04509</t>
  </si>
  <si>
    <t>DMR202G01H00-01-04511</t>
  </si>
  <si>
    <t>DMR202G01H00-01-04512</t>
  </si>
  <si>
    <t>DMR202G01H00-01-04564</t>
  </si>
  <si>
    <t>DMR202G01H00-01-04563</t>
  </si>
  <si>
    <t>DMR202G01H00-05-01706</t>
  </si>
  <si>
    <t>DMR202G01H00-05-01707</t>
  </si>
  <si>
    <t>Ck. 10307 y 11456</t>
  </si>
  <si>
    <t xml:space="preserve">Base Aerea para TV y DVD de 21-29"     </t>
  </si>
  <si>
    <t>ACTUALIDADES VD, S.A.</t>
  </si>
  <si>
    <t>DMR202G01H00-01-04287</t>
  </si>
  <si>
    <t>Ck. 00025          SUB-BENEF.</t>
  </si>
  <si>
    <t>DMR202G01H00-02-01015</t>
  </si>
  <si>
    <t>Proyector Multimedia Dell 1210s</t>
  </si>
  <si>
    <t>2JW7NG1</t>
  </si>
  <si>
    <t>MINISTERIO DE TRABAJO / UTELAIN</t>
  </si>
  <si>
    <t>ASTI CONSULTING, SRL / THE PC STORE</t>
  </si>
  <si>
    <t>Ck. 00373</t>
  </si>
  <si>
    <t>DMR202G01H00-01-04696</t>
  </si>
  <si>
    <t>Inversor Trace -Xantrex TR 3.6 Kilo de 24 TR3624. Incluye: 8 Baterias Trace de 6.0V T-115 225mp. e Instalacion.</t>
  </si>
  <si>
    <t>TRACE INTERNACIONAL, C. X. A.</t>
  </si>
  <si>
    <t>DMR202G01H00-01-04697</t>
  </si>
  <si>
    <t>Ck. 2268</t>
  </si>
  <si>
    <t>DMR202G01H00-02-01086</t>
  </si>
  <si>
    <t>Pantalla de Proyeccion Versatil 60 x 60 con Tripode</t>
  </si>
  <si>
    <t>COMPUDOMSA</t>
  </si>
  <si>
    <t>DMR202G01H00-02-01087</t>
  </si>
  <si>
    <t>Proyector Multimedia Epson S8  2500 LUMENES</t>
  </si>
  <si>
    <t>M4SF9Z2825L</t>
  </si>
  <si>
    <t>Ck. 12248</t>
  </si>
  <si>
    <t>DMR202G01H00-02-01140</t>
  </si>
  <si>
    <t>APC Power Modulo 200/208V                      LX-4KVA P/UPS. Incluye: 20 Bateria de 12Voltio e Instalación.</t>
  </si>
  <si>
    <t>QD1035360496</t>
  </si>
  <si>
    <t xml:space="preserve">Unidad de Tecnología   </t>
  </si>
  <si>
    <t>THE POWER PLACE DOMINICANA</t>
  </si>
  <si>
    <t>Ck. 12301</t>
  </si>
  <si>
    <t>DMR202G01H00-01-04840</t>
  </si>
  <si>
    <t>Armario Metalico 18 x 36 x 72. Incluye:  2 Puertas y Color Crema</t>
  </si>
  <si>
    <t>ACTUALIDADES VD</t>
  </si>
  <si>
    <t>DMR202G01H00-01-04841</t>
  </si>
  <si>
    <t>Ck. 320         SUB-BENEF.</t>
  </si>
  <si>
    <t>DMR202G01H00-04-00075</t>
  </si>
  <si>
    <t>Monitor Activo Tipo Bafle con USB 250 WRM</t>
  </si>
  <si>
    <t>PS-15A</t>
  </si>
  <si>
    <t>HOGAR CREA DOMINICANO, INC.</t>
  </si>
  <si>
    <t>MUSICAL COMPAÑÍA, S.A.</t>
  </si>
  <si>
    <t>DMR202G01H00-04-00076</t>
  </si>
  <si>
    <t>DMR202G01H00-04-00077</t>
  </si>
  <si>
    <t>Stand de Bocina</t>
  </si>
  <si>
    <t>LK314-1</t>
  </si>
  <si>
    <t>DMR202G01H00-04-00078</t>
  </si>
  <si>
    <t>Ck. 322         SUB-BENEF.</t>
  </si>
  <si>
    <t>DMR202G01H00-02-01082</t>
  </si>
  <si>
    <t>Pantalla de Proyeccion 86" Puls Klips Extreme</t>
  </si>
  <si>
    <t>KPS-302</t>
  </si>
  <si>
    <t>AR COMPUTADORAS Y SUMINISTROS, S.A.</t>
  </si>
  <si>
    <t>DMR202G01H00-02-01081</t>
  </si>
  <si>
    <t>Proyector Multimedia Sanyo PLV-Z60</t>
  </si>
  <si>
    <t>G8Y04123 MC4-Z6000</t>
  </si>
  <si>
    <t>Ck. 12354</t>
  </si>
  <si>
    <t>DMR202G01H00-01-04842</t>
  </si>
  <si>
    <t>Archivo Tipo Armario con Caja de Seguridad y Cerradura de Combinacion Metal 4 Gaveta, 1 Puerta, Dim. 42"x18"</t>
  </si>
  <si>
    <t>Direccion Ejecutiva</t>
  </si>
  <si>
    <t>Ck. 12477</t>
  </si>
  <si>
    <t>DMR202G01H00-02-01074</t>
  </si>
  <si>
    <t>Computador HP Compaq 6000 PRO SFF Incluye: Monitores HP Compaq LE1711-LCD de 17".</t>
  </si>
  <si>
    <t>CPU: MXL0191LR6 / PANTALLA: CNN40628NR</t>
  </si>
  <si>
    <t>SINERGIT</t>
  </si>
  <si>
    <t>Transf. 102</t>
  </si>
  <si>
    <t>DMR202G01H00-03-00034</t>
  </si>
  <si>
    <t>Camioneta Nissan Frontier 4WD, Doble Cabina, Color Gris. 2010.</t>
  </si>
  <si>
    <t>Chassis: JN1CJUD22Z0110543</t>
  </si>
  <si>
    <t>SANTO DOMINGO MOTORS COMPANY, S.A.</t>
  </si>
  <si>
    <t>Ck. 12687</t>
  </si>
  <si>
    <t>DMR202G01H00-05-01722</t>
  </si>
  <si>
    <t>Centrifuga Refrigerada Thermo Fisher Scientific, Mod. Sorvall ST40R</t>
  </si>
  <si>
    <t>LAB. NACIONAL DR. DEFILLO</t>
  </si>
  <si>
    <t>BIO-NUCLEAR</t>
  </si>
  <si>
    <t>Ck. 12753</t>
  </si>
  <si>
    <t>DMR202G01H00-01-04845</t>
  </si>
  <si>
    <t>Armario Metalico 18 x 36 x 72. Incluye:  2 Puertas y Color Gris</t>
  </si>
  <si>
    <t>Gerencia Técnica</t>
  </si>
  <si>
    <t>DMR202G01H00-01-04846</t>
  </si>
  <si>
    <t>Ck. 219        SUB-BENEF.</t>
  </si>
  <si>
    <t>DMR202G01H00-01-04855</t>
  </si>
  <si>
    <t>Aire Acondicionado TGM de 24,000 BTU. E Instalación.</t>
  </si>
  <si>
    <t xml:space="preserve"> Mod. MWZT-245</t>
  </si>
  <si>
    <t>S &amp; R SERVICENTRO, C. POR A.</t>
  </si>
  <si>
    <t>DMR202G01H00-01-04856</t>
  </si>
  <si>
    <t>DMR202G01H00-01-04857</t>
  </si>
  <si>
    <t>DMR202G01H00-01-04858</t>
  </si>
  <si>
    <t>DMR202G01H00-01-04854</t>
  </si>
  <si>
    <t>Freezer General Electric de 17" Pies, Vertical y Color Blanca de Una Puertas.</t>
  </si>
  <si>
    <t>DMR202G01H00-02-01102</t>
  </si>
  <si>
    <t>Impresora HP LáserJet P110ZW</t>
  </si>
  <si>
    <t>VNB3502607</t>
  </si>
  <si>
    <t>DMR202G01H00-01-04852</t>
  </si>
  <si>
    <t>Nevera Mabe de 17" Pies, Color Blanca de Dos Puertas, Mod. RM88B04</t>
  </si>
  <si>
    <t>1003A301516</t>
  </si>
  <si>
    <t>DMR202G01H00-01-04853</t>
  </si>
  <si>
    <t>1003A312844</t>
  </si>
  <si>
    <t>Ck. 13168</t>
  </si>
  <si>
    <t>DMR202G01H00-01-04849</t>
  </si>
  <si>
    <t>Coordinación Financiera</t>
  </si>
  <si>
    <t>DMR202G01H00-01-04850</t>
  </si>
  <si>
    <t>Ck. 13563</t>
  </si>
  <si>
    <t>DMR202G01H00-02-01127</t>
  </si>
  <si>
    <t>Computador Dell Optiplex 780 y Monitor  Dell E Series E1910H 18.5 Pulgada</t>
  </si>
  <si>
    <t>GG31JM1 / CN-0Y4413-72201-51R-3D7Y</t>
  </si>
  <si>
    <t>FL BETANCES Y ASOCIADOS</t>
  </si>
  <si>
    <t>DMR202G01H00-02-01128</t>
  </si>
  <si>
    <t>DG31JM1</t>
  </si>
  <si>
    <t>DMR202G01H00-02-01125</t>
  </si>
  <si>
    <t>CPU: 9G31JM1 / MONITOR: CN-00H3PD-7287207M-1MRS</t>
  </si>
  <si>
    <t>Ck. 14942</t>
  </si>
  <si>
    <t>Laptop HP Pro Book 6550b. Incluye: Docking Station y Bulto</t>
  </si>
  <si>
    <t>UNITEC DOMINICANA</t>
  </si>
  <si>
    <t>DMR202G01H00-02-01135</t>
  </si>
  <si>
    <t>CNU0383BV2</t>
  </si>
  <si>
    <t>Santo Domingo Oeste</t>
  </si>
  <si>
    <t>EL MESON DE DIOS, INC.</t>
  </si>
  <si>
    <t>Ck. 79      SUB-BENEF.</t>
  </si>
  <si>
    <t>DMR202G01H00-01-04906</t>
  </si>
  <si>
    <t>Cámara de Video Digital Sony,               Mod. HDR-XR160 / 3.3 MP, 160GB.</t>
  </si>
  <si>
    <t>1124703</t>
  </si>
  <si>
    <t>P.C. RICHARD &amp; SON</t>
  </si>
  <si>
    <t>Ck. 84      SUB-BENEF.</t>
  </si>
  <si>
    <t>DMR202G01H00-01-04909</t>
  </si>
  <si>
    <t>Archivo Vertical de 5 Gavetas Mercury  Color Crema</t>
  </si>
  <si>
    <t>OMAR MUEBLES</t>
  </si>
  <si>
    <t>Ck. 85      SUB-BENEF.</t>
  </si>
  <si>
    <t>DMR202G01H00-01-04910</t>
  </si>
  <si>
    <t>Ck. 88      SUB-BENEF.</t>
  </si>
  <si>
    <t>DMR202G01H00-01-04915</t>
  </si>
  <si>
    <t>Sillón Técnico, Color Negro</t>
  </si>
  <si>
    <t>Mod. 11060</t>
  </si>
  <si>
    <t>Ck. 89      SUB-BENEF.</t>
  </si>
  <si>
    <t>DMR202G01H00-01-04916</t>
  </si>
  <si>
    <t>Bebedero de Botellon Keeprite, con Neverita, Color Blanco</t>
  </si>
  <si>
    <t>11190045</t>
  </si>
  <si>
    <t>METALGAS, S.R.L.</t>
  </si>
  <si>
    <t>Ck. 120      SUB-BENEF.</t>
  </si>
  <si>
    <t>DMR202G01H00-01-04925</t>
  </si>
  <si>
    <t>Abanico de Techo KDK, Color Blanco</t>
  </si>
  <si>
    <t>LA INNOVACION,         C. X A.</t>
  </si>
  <si>
    <t>DMR202G01H00-01-04926</t>
  </si>
  <si>
    <t>Ck. 15404</t>
  </si>
  <si>
    <t>DMR202G01H00-04-00084</t>
  </si>
  <si>
    <t>Dispositivo Fijo de Comunicación, GPS SYRUS P/Tracking Vehicular.</t>
  </si>
  <si>
    <t>356612021112703</t>
  </si>
  <si>
    <t>INFORMATICA ACTUALIZADA, S.A.</t>
  </si>
  <si>
    <t>DMR202G01H00-04-00085</t>
  </si>
  <si>
    <t>356612021040839</t>
  </si>
  <si>
    <t>DMR202G01H00-04-00086</t>
  </si>
  <si>
    <t>356612021086931</t>
  </si>
  <si>
    <t>DMR202G01H00-04-00087</t>
  </si>
  <si>
    <t>356612021090347</t>
  </si>
  <si>
    <t>DMR202G01H00-04-00088</t>
  </si>
  <si>
    <t>356612021089323</t>
  </si>
  <si>
    <t>DMR202G01H00-04-00089</t>
  </si>
  <si>
    <t>356612021153538</t>
  </si>
  <si>
    <t>Gestión Humana                   Angie Muñoz+B747:C7+C74548</t>
  </si>
  <si>
    <t>UPS APC Symmetra LX 8KVA</t>
  </si>
  <si>
    <t>Ck. 00000      Ck. 13402       Ck. 12849</t>
  </si>
  <si>
    <t>DMR202G01H00-05-01730</t>
  </si>
  <si>
    <t>20E05-001                               Mod. Merck-Hitachi</t>
  </si>
  <si>
    <t>AMCO INSTRUMENTS, S.A.</t>
  </si>
  <si>
    <t>Ck. 16006</t>
  </si>
  <si>
    <t>DMR202G01H00-02-01164</t>
  </si>
  <si>
    <t>Scanner HP ScanJet 5590</t>
  </si>
  <si>
    <t>CN161VH16G</t>
  </si>
  <si>
    <t>Gestión Humana                   Angie Muñoz</t>
  </si>
  <si>
    <t>Ck. 2546</t>
  </si>
  <si>
    <t>DMR202G01H00-01-04979</t>
  </si>
  <si>
    <t>Nevera Samsung de 18 Pies Cúbico. Color Blanca</t>
  </si>
  <si>
    <t xml:space="preserve">JJ8W-RBA50031  </t>
  </si>
  <si>
    <t>LABORATORIO CLINICO Centro Diagnóstico y Atención Primaria "Porvenir" SPM</t>
  </si>
  <si>
    <t>DISTRIBUIDORA CORRIPIO</t>
  </si>
  <si>
    <t>Ck. 17304</t>
  </si>
  <si>
    <t>DMR202G01H00-01-04992</t>
  </si>
  <si>
    <t>Aire Acondicionado Tipo Split de 12,000 BTU, Marca: PLUSCOOL/GALANZ</t>
  </si>
  <si>
    <t>104548010920</t>
  </si>
  <si>
    <t>Planificación y Desarrollo</t>
  </si>
  <si>
    <t>AUTOREFRICENTRO M &amp; B</t>
  </si>
  <si>
    <t>Ck. 17371</t>
  </si>
  <si>
    <t>DMR202G01H00-01-05026</t>
  </si>
  <si>
    <t>Armario Metálico de Dos (2) Puerta, Color Crema</t>
  </si>
  <si>
    <t>Mod. Velmer</t>
  </si>
  <si>
    <t>OFIDOSA, S.A.</t>
  </si>
  <si>
    <t>DMR202G01H00-01-05027</t>
  </si>
  <si>
    <t>DMR202G01H00-01-05028</t>
  </si>
  <si>
    <t>DMR202G01H00-01-05029</t>
  </si>
  <si>
    <t>DMR202G01H00-01-05030</t>
  </si>
  <si>
    <t>Ck. 17370</t>
  </si>
  <si>
    <t>DMR202G01H00-01-05001</t>
  </si>
  <si>
    <t>Sillón Semi-Ejecutivo en Tela Negra, con Brazos Fijos, Sistema Giratorio e Hidráulico</t>
  </si>
  <si>
    <t>Mod. SG216-H</t>
  </si>
  <si>
    <t>ACTUALIDADES V.D., S.A.</t>
  </si>
  <si>
    <t>DMR202G01H00-01-05002</t>
  </si>
  <si>
    <t>DMR202G01H00-02-01242</t>
  </si>
  <si>
    <t>DMR202G01H00-02-01244</t>
  </si>
  <si>
    <t>Computador Dell Optiplex 390 Small Form Factor. Incluye: Monitor Dell, Mouse y Teclado.</t>
  </si>
  <si>
    <t>5K6KPS1 / CN-00H3PD-72872-07M-1MHS</t>
  </si>
  <si>
    <t>Coordinación Financiera            Benancio Cuevas</t>
  </si>
  <si>
    <t>FL BETANCES Y ASOCIADOS, S.A.</t>
  </si>
  <si>
    <t>DMR202G01H00-02-01243</t>
  </si>
  <si>
    <t xml:space="preserve">   5K6RPS1 / CN-0N01VP-64180-23H-1LJS</t>
  </si>
  <si>
    <t>Gerencia Técnica      Kenia Mejía</t>
  </si>
  <si>
    <t>Ck. 17563</t>
  </si>
  <si>
    <t>DMR202G01H00-02-01237</t>
  </si>
  <si>
    <t>5K5TPS1 / CN-00H3PD-72872-07M-1MHS</t>
  </si>
  <si>
    <t>DMR202G01H00-02-01238</t>
  </si>
  <si>
    <t xml:space="preserve">5K6PPS1 / CN-0N01VP-64180-23H-YMCS </t>
  </si>
  <si>
    <t>DMR202G01H00-02-01239</t>
  </si>
  <si>
    <t>5K6QPS1 / CN-0N01VP-64180-23H-ILSS</t>
  </si>
  <si>
    <t>DMR202G01H00-02-01240</t>
  </si>
  <si>
    <t>5K5SPS1 / CN-0PT9401-71618-59F-A255</t>
  </si>
  <si>
    <t>DMR202G01H00-02-01245</t>
  </si>
  <si>
    <t>5K6LPS1 / CN-0N01VP-64180-23A-OUNS</t>
  </si>
  <si>
    <t>DMR202G01H00-02-01236</t>
  </si>
  <si>
    <t>5K6TPS1 / CN-0N01VP-64180-23A-0UPS</t>
  </si>
  <si>
    <t>Ck. 17597</t>
  </si>
  <si>
    <t>DMR202G01H00-04-00102</t>
  </si>
  <si>
    <t>Jeep Toyota RAV4 Crema</t>
  </si>
  <si>
    <t xml:space="preserve">Unidad de Transportación </t>
  </si>
  <si>
    <t>DMR202G01H00-04-00103</t>
  </si>
  <si>
    <t>Jeep Toyota RAV4 Azul</t>
  </si>
  <si>
    <t>DMR202G01H00-04-00104</t>
  </si>
  <si>
    <t>Jeep Nissan Azul</t>
  </si>
  <si>
    <t>DMR202G01H00-04-00105</t>
  </si>
  <si>
    <t>Kia Azul</t>
  </si>
  <si>
    <t>Ck. 18084</t>
  </si>
  <si>
    <t>DMR202G01H00-01-05059</t>
  </si>
  <si>
    <t>Banco para Jardin en Hierro y Madera</t>
  </si>
  <si>
    <t>FERRETERIA AMERICANA</t>
  </si>
  <si>
    <t>Ck. 719       SUB_BENEF.</t>
  </si>
  <si>
    <t>DMR202G01H00-01-05067</t>
  </si>
  <si>
    <t>Nevera MABE de Dos Puerta 18" Pies</t>
  </si>
  <si>
    <t>RF12VW1SIA</t>
  </si>
  <si>
    <t>KGM COMERCIAL</t>
  </si>
  <si>
    <t>Ck. 19472</t>
  </si>
  <si>
    <t>DMR202G01H00-01-05068</t>
  </si>
  <si>
    <t>Anaqueles Metálicos de 6 Bandejas Gris. Cantidad: 20 Unidades</t>
  </si>
  <si>
    <t>OFISERVICIOS DOMINICANO, S.A.</t>
  </si>
  <si>
    <t>DMR202G01H00-01-05069</t>
  </si>
  <si>
    <t>Armário Metálico de 2 Puertas, Steelfile</t>
  </si>
  <si>
    <t>DMR202G01H00-01-05070</t>
  </si>
  <si>
    <t>DMR202G01H00-01-05073</t>
  </si>
  <si>
    <t>Escritorio en Melamina y Base de Metal 28x48</t>
  </si>
  <si>
    <t>DMR202G01H00-01-05130</t>
  </si>
  <si>
    <t>Ck. 19473</t>
  </si>
  <si>
    <t>DMR202G01H00-01-05076</t>
  </si>
  <si>
    <t>Archivo Modular Metálico de 3 Gavetas Color Gris</t>
  </si>
  <si>
    <t>LEON G.</t>
  </si>
  <si>
    <t>DMR202G01H00-01-05077</t>
  </si>
  <si>
    <t>Ck. 19990 y 3844</t>
  </si>
  <si>
    <t>DMR202G01H00-01-05082</t>
  </si>
  <si>
    <t>Caja Fuerte de Seguridad, Dimensión 22.25 x 18.87 x 17.70”</t>
  </si>
  <si>
    <t>Mod. SS-031D</t>
  </si>
  <si>
    <t>Ck. 20090</t>
  </si>
  <si>
    <t>DMR202G01H00-02-01410</t>
  </si>
  <si>
    <t>Laptop Dell Latitude E5530. Incluye: Bultos en Piel o Nylon.</t>
  </si>
  <si>
    <t>1WHLKX1</t>
  </si>
  <si>
    <t>UTI</t>
  </si>
  <si>
    <t>FL BETANCES Y ASOCIADO, S.A.</t>
  </si>
  <si>
    <t>Ck. 20060</t>
  </si>
  <si>
    <t>DMR202G01H00-02-01406</t>
  </si>
  <si>
    <t>Computador Dell Optiplex 7010</t>
  </si>
  <si>
    <t>CPU: D1MFGX1 MONITOR: CN-0R16JC-72872-340-FODM</t>
  </si>
  <si>
    <t>DMR202G01H00-02-01398</t>
  </si>
  <si>
    <t>CPU: D1MCGX1 MONITOR: CN-0R16JC-72872-345-49UM</t>
  </si>
  <si>
    <t>Consultoria Juridica    Pilar Taveras</t>
  </si>
  <si>
    <t>DMR202G01H00-02-01399</t>
  </si>
  <si>
    <t>CPU: D1MJGX1 MONITOR: CN-0H3PD-72872-07M-1MRS</t>
  </si>
  <si>
    <t>Consultoria Juridica   Erick Quezada</t>
  </si>
  <si>
    <t>DMR202G01H00-02-01380</t>
  </si>
  <si>
    <t>CPU: D1GHGX1 MONITOR: CN-0R16JC-72872-340-F62M</t>
  </si>
  <si>
    <t>Consultoria Juridica   Sabrina Gil</t>
  </si>
  <si>
    <t>DMR202G01H00-02-01386</t>
  </si>
  <si>
    <t>CPU: D1LHGX1 MONITOR: CN-0R16JC-72872-340-F55M</t>
  </si>
  <si>
    <t>Consultoria Juridica   Sonia Rodriguez</t>
  </si>
  <si>
    <t>DMR202G01H00-02-01392</t>
  </si>
  <si>
    <t>CPU: D1HHGX1 MONITOR: CN-00H3PD-72872-07M-0LLS</t>
  </si>
  <si>
    <t>Coordinación Financiera   Indhira Popoteur</t>
  </si>
  <si>
    <t>DMR202G01H00-02-01405</t>
  </si>
  <si>
    <t>CPU: D1LGGX1 MONITOR: CN-0R16JC-72872-340-ERGM</t>
  </si>
  <si>
    <t>Coordinación Financiera   Katiuska Romero</t>
  </si>
  <si>
    <t>DMR202G01H00-02-01379</t>
  </si>
  <si>
    <t xml:space="preserve">CPU: D1NFGX1 MONITOR: CN-0J4413-72201-51R-3D7J </t>
  </si>
  <si>
    <t xml:space="preserve">Correspondencia     </t>
  </si>
  <si>
    <t>DMR202G01H00-02-01393</t>
  </si>
  <si>
    <t>CPU: D1HJGX1 MONITOR: CN-0R16JC-72872-345-AEEM</t>
  </si>
  <si>
    <t>Depto. Adquisiciones  Isabel Orozco</t>
  </si>
  <si>
    <t>DMR202G01H00-02-01408</t>
  </si>
  <si>
    <t>CPU: D1NGGX1 MONITOR: CN-0R16JC-72872-340-EUKM</t>
  </si>
  <si>
    <t>Depto. Adquisiciones  Virgina Melo</t>
  </si>
  <si>
    <t>DMR202G01H00-02-01409</t>
  </si>
  <si>
    <t>CPU: D1NHGX1 MONITOR: CN-0R16JC-72872-340-ADLM</t>
  </si>
  <si>
    <t>Depto. Adquisiciones  Yesenia Martinez</t>
  </si>
  <si>
    <t>DMR202G01H00-02-01404</t>
  </si>
  <si>
    <t>CPU: D1LDGX1 MONITOR: CN-0R16JC-72872-340-EULM</t>
  </si>
  <si>
    <t>Waddys</t>
  </si>
  <si>
    <t>DMR202G01H00-02-01407</t>
  </si>
  <si>
    <t>CPU: D1MHGX1 MONITOR: CN-0R16JC-72872-345-AE7M</t>
  </si>
  <si>
    <t>Gerencia Técnica     Patricia Rivera Torres</t>
  </si>
  <si>
    <t>DMR202G01H00-02-01401</t>
  </si>
  <si>
    <t>CPU: D1HKGX1 MONITOR:CN-0R16JC-72872-340-EHDM</t>
  </si>
  <si>
    <t>Gerencia Técnica Marolin</t>
  </si>
  <si>
    <t>DMR202G01H00-02-01394</t>
  </si>
  <si>
    <t>CPU: D1JGGX1 MONITOR: CN-0R16JC-72872-345-AFOM</t>
  </si>
  <si>
    <t>Gerencia Técnica   Cleotilde Peña</t>
  </si>
  <si>
    <t>DMR202G01H00-02-01370</t>
  </si>
  <si>
    <t>CPU: D1JDGX1  MONITOR: CN-0R16JC-72872-340-F4UM</t>
  </si>
  <si>
    <t>Gerencia Técnica  Manuel Aquino</t>
  </si>
  <si>
    <t>DMR202G01H00-02-01390</t>
  </si>
  <si>
    <t>CPU: D1GJGX1 MONITOR: CN-0R16JC-72872-340-EHJM</t>
  </si>
  <si>
    <t>Gestión a los Servicios de Salud                      Carlos Felix</t>
  </si>
  <si>
    <t>DMR202G01H00-02-01391</t>
  </si>
  <si>
    <t>CPU: D1HGGX1 MONITOR: CN-0R16JC-72872-340-CUMM</t>
  </si>
  <si>
    <t>Gestión a los Servicios de Salud                      Iris García</t>
  </si>
  <si>
    <t>DMR202G01H00-02-01402</t>
  </si>
  <si>
    <t>CPU: D1JFGX1 MONITOR: CN-0R16JC-72872-340-FOEM</t>
  </si>
  <si>
    <t>Gestión a los Servicios de Salud                  Maria Castillo</t>
  </si>
  <si>
    <t>DMR202G01H00-02-01384</t>
  </si>
  <si>
    <t>CPU: D1KGGX1 MONITOR: CN-0R16JC-72872-340-F50M</t>
  </si>
  <si>
    <t>Gestión a los Servicios de Salud                 Maria Rodriguez</t>
  </si>
  <si>
    <t>DMR202G01H00-02-01374</t>
  </si>
  <si>
    <t>CPU: D1LCGX1 MONITOR: CN-0R16JC-72872-340-F4JM</t>
  </si>
  <si>
    <t xml:space="preserve">Departamento Financiero  Katiuska </t>
  </si>
  <si>
    <t>DMR202G01H00-02-01417</t>
  </si>
  <si>
    <t>GV8LKX1</t>
  </si>
  <si>
    <t>Unidad de Tecnologia  Miguel Garcia</t>
  </si>
  <si>
    <t>DMR202G01H00-02-01397</t>
  </si>
  <si>
    <t>CPU: D1KHGX1 MONITOR: CN-0R16JC-72872-345-ADYM</t>
  </si>
  <si>
    <t>Planificación y Desarrollo                Gloria Peña</t>
  </si>
  <si>
    <t>DMR202G01H00-02-01372</t>
  </si>
  <si>
    <t>CPU: D1KJGX1  MONITOR: CN-0R16JC-72872-340-FOFM</t>
  </si>
  <si>
    <t xml:space="preserve">Planificación y Desarrollo              </t>
  </si>
  <si>
    <t>DMR202G01H00-02-01414</t>
  </si>
  <si>
    <t xml:space="preserve"> 8V8LKX1 / CN-0R16JC-72872-340-EHJM</t>
  </si>
  <si>
    <t xml:space="preserve">Prensa y Relaciones Pública                              </t>
  </si>
  <si>
    <t>DMR202G01H00-02-01400</t>
  </si>
  <si>
    <t>CPU: D1HFGX1 MONITOR: CN-0R16JC-72872-340-EH7M</t>
  </si>
  <si>
    <t xml:space="preserve">Prensa y Relaciones Pública       </t>
  </si>
  <si>
    <t>DMR202G01H00-02-01383</t>
  </si>
  <si>
    <t>CPU: D1KFGX1 MONITOR: CN-0R16JC-72872-340-FOMM</t>
  </si>
  <si>
    <t>Prensa y Relaciones Pública                    Vianco Martinez</t>
  </si>
  <si>
    <t>DMR202G01H00-02-01373</t>
  </si>
  <si>
    <t>CPU: D1KKGX1  MONITOR: CN-0R16JC-72872-34S-AE1M</t>
  </si>
  <si>
    <t xml:space="preserve">Recepcionista                    </t>
  </si>
  <si>
    <t>DMR202G01H00-02-01382</t>
  </si>
  <si>
    <t>CPU: D1HDGX1 MONITOR: CN-0N0IVP-64180-23H-1LSS</t>
  </si>
  <si>
    <t>Servicios Generales        Mariette Feliz</t>
  </si>
  <si>
    <t>DMR202G01H00-02-01385</t>
  </si>
  <si>
    <t>CPU: D1LFGX1 MONITOR: CN-0R16JC-72872-340-F5PM</t>
  </si>
  <si>
    <t>Servicios Generales     Kissairy Pichardo</t>
  </si>
  <si>
    <t>DMR202G01H00-02-01387</t>
  </si>
  <si>
    <t>CPU: D1MDGX1 MONITOR: CN-0R16JC-72872-340-EJIM</t>
  </si>
  <si>
    <t>Unidad de Acceso a la Información             Esther Santana</t>
  </si>
  <si>
    <t>DMR202G01H00-02-01381</t>
  </si>
  <si>
    <t>CPU: D1GKGX1 MONITOR: CN-0R16JC-72872-340-ERFM</t>
  </si>
  <si>
    <t>Unidad de Tecnologia</t>
  </si>
  <si>
    <t>DMR202G01H00-02-01389</t>
  </si>
  <si>
    <t xml:space="preserve">CPU: D1NCGX1 MONITOR: CN-0CC352-64180-62J-27WL     </t>
  </si>
  <si>
    <t>DMR202G01H00-02-01416</t>
  </si>
  <si>
    <t>Laptop Dell Latitude E5530. Incluye: Monitor, Bultos en Piel o Nylon.</t>
  </si>
  <si>
    <t>F6CLKX1 / MONITOR: CN-00H3PD-7287207M-0HJS</t>
  </si>
  <si>
    <t>Monitores programaticos Salvador</t>
  </si>
  <si>
    <t>DMR202G01H00-02-01375</t>
  </si>
  <si>
    <t>CPU: D1LJGX1 MONITOR: CN-0R16JC-72872-340-ERLM</t>
  </si>
  <si>
    <t>Unidad de Tecnología   Junior Medina</t>
  </si>
  <si>
    <t>DMR202G01H00-02-01396</t>
  </si>
  <si>
    <t>CPU: D1KDGX1 MONITOR:CN-0R16JC-72872-357-C2JM</t>
  </si>
  <si>
    <t>Departamento Financiero Wanda Medina</t>
  </si>
  <si>
    <t>DMR202G01H00-02-01378</t>
  </si>
  <si>
    <t>CPU: D1NDGX1 MONITOR: CN-0R16JC-72872-340-F4TM</t>
  </si>
  <si>
    <t>Unidad Población Clave                         Betzaida Villeta</t>
  </si>
  <si>
    <t>DMR202G01H00-02-01411</t>
  </si>
  <si>
    <t>2N8LKX1 / CN-0N01VP-64180-23H-1LM5</t>
  </si>
  <si>
    <t>Unidad Población Clave  Raziel Zayas Severino</t>
  </si>
  <si>
    <t>DMR202G01H00-02-01403</t>
  </si>
  <si>
    <t>CPU: D1JHGX1 MONITOR: CN-0N01VP-64180-23A-OUNS</t>
  </si>
  <si>
    <t>Unidad Transportación Pascasio Toribio</t>
  </si>
  <si>
    <t>Ck. 371    SUB-BENEF.</t>
  </si>
  <si>
    <t>DMR202G01H00-02-01218</t>
  </si>
  <si>
    <t>Laptop HP ProBook 4540s. Incluye: Bulto de Nylon.</t>
  </si>
  <si>
    <t>CCE2423D79</t>
  </si>
  <si>
    <t>Ck. 20196</t>
  </si>
  <si>
    <t>DMR202G01H00-02-01278</t>
  </si>
  <si>
    <t>Impresora LaserJet Pro-400 Color M451DN</t>
  </si>
  <si>
    <t>CNDF214757</t>
  </si>
  <si>
    <t>Miguel Ruiz</t>
  </si>
  <si>
    <t>DMR202G01H00-02-01279</t>
  </si>
  <si>
    <t>CNDF315264</t>
  </si>
  <si>
    <t>Consultoria Juridica</t>
  </si>
  <si>
    <t>DMR202G01H00-02-01276</t>
  </si>
  <si>
    <t>CNDF104314</t>
  </si>
  <si>
    <t>Coordinación Administrativa          Mirian Baez</t>
  </si>
  <si>
    <t>DMR202G01H00-02-01273</t>
  </si>
  <si>
    <t>CNDF315271</t>
  </si>
  <si>
    <t>DMR202G01H00-02-01270</t>
  </si>
  <si>
    <t>Laptop Dell Latitude E5530. Incluye: Docking Station y Bultos en Nylon.</t>
  </si>
  <si>
    <t>F7SKJX1</t>
  </si>
  <si>
    <t>Coordinación Financiera               Wanda Y. Medina G.</t>
  </si>
  <si>
    <t>DMR202G01H00-02-01274</t>
  </si>
  <si>
    <t>CNDF315272</t>
  </si>
  <si>
    <t>DMR202G01H00-02-01261</t>
  </si>
  <si>
    <t>Laptop: J6SKJX1            Monitor: FWKTJV2</t>
  </si>
  <si>
    <t>Depto. Adquisiciones   Giselle Otero</t>
  </si>
  <si>
    <t>DMR202G01H00-02-01282</t>
  </si>
  <si>
    <t>CNDF104311</t>
  </si>
  <si>
    <t>Direccion Ejecutiva             Henriquez Gonzalez</t>
  </si>
  <si>
    <t>DMR202G01H00-02-01280</t>
  </si>
  <si>
    <t>CNDF315267</t>
  </si>
  <si>
    <t>Gerencia Tecnica           Rosa Sanchez</t>
  </si>
  <si>
    <t>DMR202G01H00-02-01277</t>
  </si>
  <si>
    <t>CNDF214744</t>
  </si>
  <si>
    <t>Planificación y Desarrollo                                 Nelson Belisario</t>
  </si>
  <si>
    <t>DMR202G01H00-02-01281</t>
  </si>
  <si>
    <t>CNDF315268</t>
  </si>
  <si>
    <t>Unidad de Monitores Financieros</t>
  </si>
  <si>
    <t>DMR202G01H00-02-01269</t>
  </si>
  <si>
    <t>8LRKJX1</t>
  </si>
  <si>
    <t>Unidad de Tecnología    Miguel Garcia</t>
  </si>
  <si>
    <t>DMR202G01H00-02-01260</t>
  </si>
  <si>
    <t xml:space="preserve"> H0SKJX1 </t>
  </si>
  <si>
    <t>Director Ejecutivo         Uso Externo</t>
  </si>
  <si>
    <t>DMR202G01H00-02-01263</t>
  </si>
  <si>
    <t>J6SKJXL</t>
  </si>
  <si>
    <t xml:space="preserve">Almacén de Suministro         Jhondan Anthonio Vicente </t>
  </si>
  <si>
    <t>DMR202G01H00-01-05123</t>
  </si>
  <si>
    <t>DMR202G01H00-01-05126</t>
  </si>
  <si>
    <t>DMR202G01H00-01-05127</t>
  </si>
  <si>
    <t>DMR202G01H00-01-05128</t>
  </si>
  <si>
    <t>Ck. 20291</t>
  </si>
  <si>
    <t>DMR202G01H00-05-01736</t>
  </si>
  <si>
    <t>Equipo de Electroforesis de Gel de Agarosa InterLab-Pretty. Incluye: PC, UPS y Printer.</t>
  </si>
  <si>
    <t>CLINIMED, SRL.</t>
  </si>
  <si>
    <t>Ck. 380    SUB-BENEF.</t>
  </si>
  <si>
    <t>DMR202G01H00-01-05132</t>
  </si>
  <si>
    <t xml:space="preserve">Calculadora Sumadora Sharp EL-2630P  </t>
  </si>
  <si>
    <t>2D00891X</t>
  </si>
  <si>
    <t>OFFITEK, S.R.L.</t>
  </si>
  <si>
    <t>Ck. 20477</t>
  </si>
  <si>
    <t>DMR202G01H00-01-05133</t>
  </si>
  <si>
    <t>Cámara Fotográfica NIKON D7200 16.2 MP Digital SLR Came. Incluye: Pack de 1 Baterias Adicional P/NIKON.</t>
  </si>
  <si>
    <t>Prensa y Relaciones Pública</t>
  </si>
  <si>
    <t>PC GALLERY, S.R.L.</t>
  </si>
  <si>
    <t>Ck. 20478</t>
  </si>
  <si>
    <t>DMR202G01H00-01-05134</t>
  </si>
  <si>
    <t>Flash SB-910 AF Speedlight I-ITTL Shoe Mount y Dos (2) Memorias Card 400x UDMA de 32GB.</t>
  </si>
  <si>
    <t>LR CAMARA SHOP, S.R.L.</t>
  </si>
  <si>
    <t>Ck. 20479</t>
  </si>
  <si>
    <t>DMR202G01H00-01-05135</t>
  </si>
  <si>
    <t>Lente Telefoto Zoom 18-200mm F3.5-6   AF-S y Un Bulto para Camara Profesional.</t>
  </si>
  <si>
    <t>US2040511</t>
  </si>
  <si>
    <t>CAMARAS Y LAPTOPS MG OUTLET</t>
  </si>
  <si>
    <t>Ck. 20498</t>
  </si>
  <si>
    <t>DMR202G01H00-01-05136</t>
  </si>
  <si>
    <t>Aire Acondicionado Tipo Split de 12,000 BTU. Marca: TGM Horz. Incluye: Kit de Instalación</t>
  </si>
  <si>
    <t>Almacen de suministro</t>
  </si>
  <si>
    <t>REFRIPARTES, S.A.</t>
  </si>
  <si>
    <t>JAYSA MUEBLES, S.R.L.</t>
  </si>
  <si>
    <t>Ck. 21395</t>
  </si>
  <si>
    <t>Silla Secretarial con Brazos, Espaldar en Malla y Asiento en Tela color Negro</t>
  </si>
  <si>
    <t>DMR202G01H00-01-05174</t>
  </si>
  <si>
    <t>Depto. Movilización Social</t>
  </si>
  <si>
    <t>DMR202G01H00-01-05170</t>
  </si>
  <si>
    <t>DMR202G01H00-01-05177</t>
  </si>
  <si>
    <t>DMR202G01H00-01-05178</t>
  </si>
  <si>
    <t>DMR202G01H00-01-05168</t>
  </si>
  <si>
    <t>Gestión a los Servicios de Salud</t>
  </si>
  <si>
    <t>DMR202G01H00-01-05169</t>
  </si>
  <si>
    <t>DMR202G01H00-01-05179</t>
  </si>
  <si>
    <t>Gestión Humana</t>
  </si>
  <si>
    <t>DMR202G01H00-01-05176</t>
  </si>
  <si>
    <t>DMR202G01H00-01-05173</t>
  </si>
  <si>
    <t>Relaciones Públicas</t>
  </si>
  <si>
    <t>DMR202G01H00-01-05162</t>
  </si>
  <si>
    <t>DMR202G01H00-01-05163</t>
  </si>
  <si>
    <t xml:space="preserve">Coordinacion Administrativa  Carolina Alsequier </t>
  </si>
  <si>
    <t>DMR202G01H00-01-05164</t>
  </si>
  <si>
    <t>DMR202G01H00-01-05165</t>
  </si>
  <si>
    <t>DMR202G01H00-01-05166</t>
  </si>
  <si>
    <t>DMR202G01H00-01-05167</t>
  </si>
  <si>
    <t>DMR202G01H00-01-05175</t>
  </si>
  <si>
    <t>Ck. 21612 y 4059</t>
  </si>
  <si>
    <t>DMR202G01H00-01-05183</t>
  </si>
  <si>
    <t>Bebedero de Botellon, Marca: American, Mod. 66SSA.</t>
  </si>
  <si>
    <t xml:space="preserve">Coordinacion Administrativa </t>
  </si>
  <si>
    <t>RADIOCENTRO, S.R.L.</t>
  </si>
  <si>
    <t>Ck. 21648 y 4055</t>
  </si>
  <si>
    <t>DMR202G01H00-01-05184</t>
  </si>
  <si>
    <t>Aire Acondicionado Tipo Split de 24,000 BTU. Marca: Midea. Incluye: Kit de Instalación.</t>
  </si>
  <si>
    <t>Dirección Ejecutiva</t>
  </si>
  <si>
    <t>Ck. 21936</t>
  </si>
  <si>
    <t>DMR202G01H00-01-05185</t>
  </si>
  <si>
    <t>Silla Secretarial con Brazos, Espaldar en Malla Verde y Asiento en Tela.</t>
  </si>
  <si>
    <t>EDUVIGES ALTAGR. CONTRERAS / TIENDA LA SIRENA.</t>
  </si>
  <si>
    <t>Ck. 21961</t>
  </si>
  <si>
    <t>DMR202G01H00-01-05186</t>
  </si>
  <si>
    <t>Ck. 22895  y 4220 Gob.    ITBIS</t>
  </si>
  <si>
    <t>DMR202G01H00-01-05192</t>
  </si>
  <si>
    <t>Bebedero de Botellón General Electric con Neverita  Integrada.</t>
  </si>
  <si>
    <t>21529NZC0658</t>
  </si>
  <si>
    <t>Ck. 22992  y 4224 Gob.  ITBIS</t>
  </si>
  <si>
    <t>DMR202G01H00-02-01481</t>
  </si>
  <si>
    <t>Scanner Fujitsu Scan Snap iX500</t>
  </si>
  <si>
    <t>A0VB235236</t>
  </si>
  <si>
    <t>SIMPAPEL, SRL.</t>
  </si>
  <si>
    <t>Ck. 23096      Caja Chica</t>
  </si>
  <si>
    <t>DMR202G01H00-01-05193</t>
  </si>
  <si>
    <t>Armario Metalico de 2 Puertas, Color Gris</t>
  </si>
  <si>
    <t>EDUVIGES ALT. CONTRERAS Y/O OPORTUNIDADES MOLINA.</t>
  </si>
  <si>
    <t xml:space="preserve">Ck. 23030 </t>
  </si>
  <si>
    <t>DMR202G01H00-01-05194</t>
  </si>
  <si>
    <t>EDYJCSA, SRL.</t>
  </si>
  <si>
    <t>Ck. 23031</t>
  </si>
  <si>
    <t>DMR202G01H00-01-05195</t>
  </si>
  <si>
    <t>Trituradora de Papel GBC ShredMaster de 12 Hoja. Mod. SC170</t>
  </si>
  <si>
    <t>AG28422H</t>
  </si>
  <si>
    <t>GLOBAL OFFICE JL, SRL.</t>
  </si>
  <si>
    <t>Ck. 23328 y 000024 Contrapartida ITBIS</t>
  </si>
  <si>
    <t>DMR202G01H00-01-05201</t>
  </si>
  <si>
    <t>Aire Acondicionado Tipo Split de 12,000 BTU. Marca: Lennox. Incluye: Kit de Instalación y Base.</t>
  </si>
  <si>
    <t>REFRICENTRO LOS PRADOS, SRL.</t>
  </si>
  <si>
    <t>DMR202G01H00-01-05202</t>
  </si>
  <si>
    <t>DMR202G01H00-01-05204</t>
  </si>
  <si>
    <t>Aire Acondicionado Tipo Split de 18,000 BTU. Marca: Lennox. Incluye: Kit de Instalación y Base.</t>
  </si>
  <si>
    <t>COND.: S2815B59091   COMP. : S2815B09378</t>
  </si>
  <si>
    <t>DMR202G01H00-01-05199</t>
  </si>
  <si>
    <t>COND.: S2815B09292   COMP. : S2815B58953</t>
  </si>
  <si>
    <t>OFICINA METROPOLITANA DE SALUD - D.N.</t>
  </si>
  <si>
    <t>DMR202G01H00-01-05205</t>
  </si>
  <si>
    <t>Aire Acondicionado Tipo Split de 36,000 BTU. Marca: Lennox. Incluye: Kit de Instalación y Base.</t>
  </si>
  <si>
    <t>DMR202G01H00-01-05200</t>
  </si>
  <si>
    <t>COND.: S2815B02276   COMP. : S2815B58930</t>
  </si>
  <si>
    <t>Ck. 23349   y 000025 Contrapartida ITBIS</t>
  </si>
  <si>
    <t>DMR202G01H00-01-05270</t>
  </si>
  <si>
    <t xml:space="preserve">Archivo Modular Metálico de 3 Gavetas Color Gris </t>
  </si>
  <si>
    <t>ACTUALIDADES DV, S.R.L.</t>
  </si>
  <si>
    <t>DMR202G01H00-01-05218</t>
  </si>
  <si>
    <t>Escritorio en Melanina 120 x 60cm.</t>
  </si>
  <si>
    <t>DMR202G01H00-01-05288</t>
  </si>
  <si>
    <t>Estante Tipo Librero con Puertas Bajas</t>
  </si>
  <si>
    <t>DMR202G01H00-01-05242</t>
  </si>
  <si>
    <t>Silla de Visita en Tela Negra</t>
  </si>
  <si>
    <t>DMR202G01H00-01-05243</t>
  </si>
  <si>
    <t>DMR202G01H00-01-05244</t>
  </si>
  <si>
    <t>DMR202G01H00-01-05245</t>
  </si>
  <si>
    <t>DMR202G01H00-01-05223</t>
  </si>
  <si>
    <t>Sillón Ejecutivo en Piel Negra</t>
  </si>
  <si>
    <t>DMR202G01H00-01-05227</t>
  </si>
  <si>
    <t>DMR202G01H00-01-05228</t>
  </si>
  <si>
    <t>Ck. 23336 y 000003 Contrapartida ITBIS</t>
  </si>
  <si>
    <t>DMR202G01H00-01-05206</t>
  </si>
  <si>
    <t>81729NMD0486</t>
  </si>
  <si>
    <t>ALMACENES UNIDOS, S.A.S.</t>
  </si>
  <si>
    <t>DMR202G01H00-01-05266</t>
  </si>
  <si>
    <t>DMR202G01H00-01-05267</t>
  </si>
  <si>
    <t>DMR202G01H00-01-05268</t>
  </si>
  <si>
    <t>DMR202G01H00-01-05269</t>
  </si>
  <si>
    <t>DMR202G01H00-01-05214</t>
  </si>
  <si>
    <t>Escritorio en Melanina 120 x 60cm. + Mesa Auxiliar en Melanina 18 x 42"</t>
  </si>
  <si>
    <t>DMR202G01H00-01-05287</t>
  </si>
  <si>
    <t>DMR202G01H00-01-05213</t>
  </si>
  <si>
    <t>Abanico de Pared Hamilton 18"</t>
  </si>
  <si>
    <t>Mod. KF-1816</t>
  </si>
  <si>
    <t>OFICINA REGIONAL DE SALUD - BARAHONA</t>
  </si>
  <si>
    <t>DMR202G01H00-01-05274</t>
  </si>
  <si>
    <t>DMR202G01H00-01-05275</t>
  </si>
  <si>
    <t>DMR202G01H00-01-05276</t>
  </si>
  <si>
    <t>DMR202G01H00-01-05277</t>
  </si>
  <si>
    <t>DMR202G01H00-01-05283</t>
  </si>
  <si>
    <t>DMR202G01H00-01-05264</t>
  </si>
  <si>
    <t>Banqueta de 3 Personas, Base Aluminio y Tela Negra 62"</t>
  </si>
  <si>
    <t>DMR202G01H00-01-05221</t>
  </si>
  <si>
    <t>DMR202G01H00-01-05216</t>
  </si>
  <si>
    <t>DMR202G01H00-01-05289</t>
  </si>
  <si>
    <t>DMR202G01H00-01-05286</t>
  </si>
  <si>
    <t>Mesa de Reuniones Redonda 4 Personas</t>
  </si>
  <si>
    <t>DMR202G01H00-01-05249</t>
  </si>
  <si>
    <t>DMR202G01H00-01-05250</t>
  </si>
  <si>
    <t>DMR202G01H00-01-05251</t>
  </si>
  <si>
    <t>DMR202G01H00-01-05252</t>
  </si>
  <si>
    <t>DMR202G01H00-01-05253</t>
  </si>
  <si>
    <t>DMR202G01H00-01-05254</t>
  </si>
  <si>
    <t>DMR202G01H00-01-05255</t>
  </si>
  <si>
    <t>DMR202G01H00-01-05256</t>
  </si>
  <si>
    <t>DMR202G01H00-01-05224</t>
  </si>
  <si>
    <t>DMR202G01H00-01-05230</t>
  </si>
  <si>
    <t>Ck. 23416  y 000018 Contrapartida ITBIS</t>
  </si>
  <si>
    <t>DMR202G01H00-02-01493</t>
  </si>
  <si>
    <t>UPS OMEA DE 650VA con Regulador de Voltaje Integrado</t>
  </si>
  <si>
    <t>111503300297</t>
  </si>
  <si>
    <t>UNIDAD TECNOLOGICA DOM. SRL.</t>
  </si>
  <si>
    <t>DMR202G01H00-02-01494</t>
  </si>
  <si>
    <t>111503300298</t>
  </si>
  <si>
    <t>Ck. 23409</t>
  </si>
  <si>
    <t>DMR202G01H00-01-05291</t>
  </si>
  <si>
    <t>Maquina Encuadernadora GBC</t>
  </si>
  <si>
    <t>Mod. MX0016</t>
  </si>
  <si>
    <t>DMR202G01H00-03-00038</t>
  </si>
  <si>
    <t>Jeepeta Suzuki Grand Vitara 2015 / 2W    Color Gris</t>
  </si>
  <si>
    <t>chassis: JS3TE04V4G4100174</t>
  </si>
  <si>
    <t>Ante Despacho del Director</t>
  </si>
  <si>
    <t>DMR202G01H00-03-00035</t>
  </si>
  <si>
    <t>Camioneta Mazda BT-50 Doble Cabina 4x4 2014. Color Blanca</t>
  </si>
  <si>
    <t>Chassis: MM7UNY0W4E0939214</t>
  </si>
  <si>
    <t>Depto. Transportación</t>
  </si>
  <si>
    <t>DMR202G01H00-03-00037</t>
  </si>
  <si>
    <t>Jeepeta Hyundai Tucson 2015 / 2WD</t>
  </si>
  <si>
    <t>chassis: KMHJT81EBFU091340</t>
  </si>
  <si>
    <t>Ck. 23419 y 000016 Contrapartida ITBIS</t>
  </si>
  <si>
    <t>DMR202G01H00-02-01497</t>
  </si>
  <si>
    <t>Computador Dell Optiplex 3020 SFF</t>
  </si>
  <si>
    <t>CPU: BS79C42    MONITOR: CN-0HDNH9-72872-44M-AJJB</t>
  </si>
  <si>
    <t>FL BETANCES Y ASOCIADOS, SRL.</t>
  </si>
  <si>
    <t>DMR202G01H00-02-01498</t>
  </si>
  <si>
    <t>CPU: DNX1942    MONITOR: CN-0HDNH9-72872-455-DMPB</t>
  </si>
  <si>
    <t>DMR202G01H00-02-01499</t>
  </si>
  <si>
    <t>CPU: FCYRR12    MONITOR: CN-0HDNH9-72872-44A-A7DB</t>
  </si>
  <si>
    <t>Ck. 23423 y 000017  Contrapartida ITBIS</t>
  </si>
  <si>
    <t>DMR202G01H00-02-01509</t>
  </si>
  <si>
    <t>Impresora LaserJet Pro MFP M225dw</t>
  </si>
  <si>
    <t>CNB8H253V5</t>
  </si>
  <si>
    <t>CLICKTECK, S.R.L.</t>
  </si>
  <si>
    <t>DMR202G01H00-02-01515</t>
  </si>
  <si>
    <t>CNB8H253TW</t>
  </si>
  <si>
    <t>HOSPITAL NTRA. SRA. DE REGLA - BANI</t>
  </si>
  <si>
    <t>DMR202G01H00-02-01514</t>
  </si>
  <si>
    <t>CNB8H253YW</t>
  </si>
  <si>
    <t>HOSP. NTRA. SEÑORA DE REGLA / BANI</t>
  </si>
  <si>
    <t>DMR202G01H00-02-01503</t>
  </si>
  <si>
    <t>CPU: DNY4942        MONITOR: CN-0HDNH9-72872-4AG-AGGM</t>
  </si>
  <si>
    <t>DMR202G01H00-02-01504</t>
  </si>
  <si>
    <t>CPU: 8PB0T12         MONITOR: CN-0HDNH9-72872-4AK-CKHB</t>
  </si>
  <si>
    <t>DMR202G01H00-02-01505</t>
  </si>
  <si>
    <t>CPU: DN64942         MONITOR: CN-0HDNH9-72872-45U-A9FM</t>
  </si>
  <si>
    <t>DMR202G01H00-02-01513</t>
  </si>
  <si>
    <t>CNB8H253WG</t>
  </si>
  <si>
    <t xml:space="preserve">Ck. 23421  ITBIS </t>
  </si>
  <si>
    <t>DMR202G01H00-03-00036</t>
  </si>
  <si>
    <t>chassis: MM7UNY0W4E0939304</t>
  </si>
  <si>
    <t>VIAMAR, S.A.</t>
  </si>
  <si>
    <t xml:space="preserve">Ck. 23453   ITBIS </t>
  </si>
  <si>
    <t>DMR202G01H00-03-00039</t>
  </si>
  <si>
    <t>chassis: MM7UNY0W4E0938797</t>
  </si>
  <si>
    <t>INST. DERMATOLOGICO Y CIR. DE PIEL</t>
  </si>
  <si>
    <t>Ck. 23833 y Ck. 78 Pago  ITBIS - Anticipo</t>
  </si>
  <si>
    <t>DMR202G01H00-03-00042</t>
  </si>
  <si>
    <t>Honda CR-V Semi-Full 2WD 2015</t>
  </si>
  <si>
    <t>chassis: 3HGRM3830FG600823</t>
  </si>
  <si>
    <t>Dirección Ejecutiva     Polivio Perez</t>
  </si>
  <si>
    <t>AGENCIA BELLA, S.A.</t>
  </si>
  <si>
    <t>Ck. 24279  y Ck. 105 Pago ITBIS - Anticipo</t>
  </si>
  <si>
    <t>DMR202G01H00-01-05324</t>
  </si>
  <si>
    <t>Mueble Tipo Estante en Madera y Revestido en Formica, para Impresora y Copiadora.</t>
  </si>
  <si>
    <t>DANIEL FERNANDEZ MEDRANO</t>
  </si>
  <si>
    <t>Ck. 23442  y Ck. 113   ITBIS Gob. Donación</t>
  </si>
  <si>
    <t>DMR202G01H00-01-05295</t>
  </si>
  <si>
    <t>Archivo Lateral de 4 Gavetas, Color Crema</t>
  </si>
  <si>
    <t>Ck. 24442  y Ck. 113  ITBIS Gob. Donación</t>
  </si>
  <si>
    <t>DMR202G01H00-01-05294</t>
  </si>
  <si>
    <t>Ck. 25076</t>
  </si>
  <si>
    <t>Computador Dell Optiplex 3020                 Incluye: Mouse y Teclado</t>
  </si>
  <si>
    <t>CLICKTECK, SRL.</t>
  </si>
  <si>
    <t>DMR202G01H00-02-01543</t>
  </si>
  <si>
    <t>CPU: 6VZ1F42 / MONITOR: CN-0HN22V-7282-66L-ANKB</t>
  </si>
  <si>
    <t>INST. NAC. DE LA SALUD / INSALUD</t>
  </si>
  <si>
    <t>DMR202G01H00-02-01553</t>
  </si>
  <si>
    <t>CPU: 6WHZD42 / MONITOR: CN-0HN22V-7282-66L-APGB</t>
  </si>
  <si>
    <t>CENTRO INV. Y APOYO CULTURAL, INC. / CIAC</t>
  </si>
  <si>
    <t>DMR202G01H00-02-01561</t>
  </si>
  <si>
    <t>CPU: J5QRV52 / MONITOR: CN-0HN22V-7282-66L-A3CB</t>
  </si>
  <si>
    <t>DMR202G01H00-02-01542</t>
  </si>
  <si>
    <t>CPU: 6VZSD42 / MONITOR: CN-0HN22V-7282-66L-AMUB</t>
  </si>
  <si>
    <t>DMR202G01H00-02-01560</t>
  </si>
  <si>
    <t>CPU: 6W30F42 / MONITOR: CN-0HN22V-7282-66L-ANJB</t>
  </si>
  <si>
    <t>Jimani</t>
  </si>
  <si>
    <t>HOSP. GENERAL MELENCIANO / JIMANI</t>
  </si>
  <si>
    <t>DMR202G01H00-02-01558</t>
  </si>
  <si>
    <t>CPU: 6W1ZD42 / MONITOR: CN-0HN22V-7282-66L-AWUB</t>
  </si>
  <si>
    <t>San Juan de la Maguana</t>
  </si>
  <si>
    <t>FUND. DE MUJERES PARA EL DES. DE SAN JUAN / FUMUDESJU</t>
  </si>
  <si>
    <t>DMR202G01H00-02-01548</t>
  </si>
  <si>
    <t>CPU: 6W13F42 / MONITOR: CN-0HN22V-7282-66L-C29B</t>
  </si>
  <si>
    <t>Santo Domingo Norte</t>
  </si>
  <si>
    <t>MOV. SOCIO-CULTURAL DE LOS TRAB. HAITIANOS / MOSCTHA</t>
  </si>
  <si>
    <t>DMR202G01H00-02-01552</t>
  </si>
  <si>
    <t>CPU: 6WC2F42 / MONITOR: CN-0HN22V-7282-66L-A3WB</t>
  </si>
  <si>
    <t>MUJERES DOM. EN DESARROLLO / MUDE</t>
  </si>
  <si>
    <t>DMR202G01H00-02-01550</t>
  </si>
  <si>
    <t>CPU: 6WOYD42 / MONITOR: CN-0HN22V-7282-66L-A4HB</t>
  </si>
  <si>
    <t>INST. DOM. DE DES. INTEGRAL / IDDI</t>
  </si>
  <si>
    <t>DMR202G01H00-02-01555</t>
  </si>
  <si>
    <t>Santo Domingo, D.N. Villas Agricolas</t>
  </si>
  <si>
    <t>CENTRO DE ORIENTACION E INV. INTEGRAL / COIN</t>
  </si>
  <si>
    <t>Ck. 25115</t>
  </si>
  <si>
    <t>DMR202G01H00-02-01571</t>
  </si>
  <si>
    <t>Computador Dell Optiplex 3046                 Incluye: Mouse y Teclado</t>
  </si>
  <si>
    <t xml:space="preserve">CPU: FV09ND2 / MONITOR: 3BQL192                                 </t>
  </si>
  <si>
    <t>Elias Piña</t>
  </si>
  <si>
    <t>HOSP. ROSA DUARTE / ELIAS PIÑA</t>
  </si>
  <si>
    <t>DMR202G01H00-02-01580</t>
  </si>
  <si>
    <t xml:space="preserve">CPU: FTZ9ND2 / MONITOR: 4LBNK62    </t>
  </si>
  <si>
    <t>DMR202G01H00-02-01578</t>
  </si>
  <si>
    <t xml:space="preserve">CPU: FV2DND2 / MONITOR: H1CNK62             </t>
  </si>
  <si>
    <t>Salcedo</t>
  </si>
  <si>
    <t xml:space="preserve">HOSP. PASCASIO TOBIRIO PIANTINI / SALCEDO              </t>
  </si>
  <si>
    <t>DMR202G01H00-02-01581</t>
  </si>
  <si>
    <t>CPU: FV0CND2 / MONITOR: 22PL192</t>
  </si>
  <si>
    <t>DMR202G01H00-02-01567</t>
  </si>
  <si>
    <t>CPU: FV07ND2 / MONITOR: FJBTW82</t>
  </si>
  <si>
    <t>DMR202G01H00-02-01568</t>
  </si>
  <si>
    <t>HOSP. RICARDO LIMARDO / P. PLATA</t>
  </si>
  <si>
    <t>DMR202G01H00-02-01576</t>
  </si>
  <si>
    <t>HOSP. JUAN XXIII - SANTIAGO</t>
  </si>
  <si>
    <t>DMR202G01H00-02-01573</t>
  </si>
  <si>
    <t>San Cristobal</t>
  </si>
  <si>
    <t>HOSP. JUAN PABLO PINA / SAN CRISTOBAL</t>
  </si>
  <si>
    <t>Ck. 25528 + ITBIS Ck.276 Contrapart.</t>
  </si>
  <si>
    <t>DMR202G01H00-02-01588</t>
  </si>
  <si>
    <t>Laptop Dell XPS 13 9350 Ultrabook Silver           Incluye: Cargador y Adaptador USB</t>
  </si>
  <si>
    <t>Laptop: JG3LHC2     Monitor: 4NFTKV2</t>
  </si>
  <si>
    <t>DMR202G01H00-02-01591</t>
  </si>
  <si>
    <t>Laptop Dell Latitude 5480                           Incluye: Cargador y Bulto</t>
  </si>
  <si>
    <t>Laptop: GYG18H2   Monitor: CN-OR16JC-72872-34O-EH9M</t>
  </si>
  <si>
    <t>Gerencia Técnica   Leticia Cos</t>
  </si>
  <si>
    <t>DMR202G01H00-02-01590</t>
  </si>
  <si>
    <t>Laptop: 7YM18H2    Monitor:8B478V2</t>
  </si>
  <si>
    <t xml:space="preserve">Planificación y Desarrollo                  Francia </t>
  </si>
  <si>
    <t>DMR202G01H00-02-01589</t>
  </si>
  <si>
    <t>CTM18H2</t>
  </si>
  <si>
    <t>Servicios Generales       Emperatriz Alvarez</t>
  </si>
  <si>
    <t>Ck. 25574 + ITBIS Ck.281 Contrapart.</t>
  </si>
  <si>
    <t>DMR202G01H00-02-01594</t>
  </si>
  <si>
    <t>BOR18H2</t>
  </si>
  <si>
    <t>Monitores Financieros                  Eric Laura Salcedo</t>
  </si>
  <si>
    <t>MICRO &amp; MINICOMPUTADORES, S.A.</t>
  </si>
  <si>
    <t>DMR202G01H00-02-01593</t>
  </si>
  <si>
    <t>GTM18H2</t>
  </si>
  <si>
    <t>Monitores Financieros                José Santana</t>
  </si>
  <si>
    <t>DMR202G01H00-02-01595</t>
  </si>
  <si>
    <t>9P928H2</t>
  </si>
  <si>
    <t>Monitores Financieros             Maria Jaqueline</t>
  </si>
  <si>
    <t>DMR202G01H00-02-01596</t>
  </si>
  <si>
    <t>9Q928H2</t>
  </si>
  <si>
    <t>Monitores Financieros           Clara Elena</t>
  </si>
  <si>
    <t>DMR202G01H00-02-01592</t>
  </si>
  <si>
    <t>2ZM18H2</t>
  </si>
  <si>
    <t>Monitores Financieros          Licelotte Calvajar</t>
  </si>
  <si>
    <t>Ck. 26097</t>
  </si>
  <si>
    <t>DMR202G01H00-05-01741</t>
  </si>
  <si>
    <t xml:space="preserve">Centrifuga de 48 Tubos CENLBN-800ML </t>
  </si>
  <si>
    <t>LABORATORIO CLINICO Centro Diagnóstico y Atención Primaria "Gurabo" Santiago</t>
  </si>
  <si>
    <t>CUSTOMED DOMINICANA, SRL.</t>
  </si>
  <si>
    <t>DMR202G01H00-05-01742</t>
  </si>
  <si>
    <t xml:space="preserve">Autoclave Eléctrico de 50 Litros UTKBS-50V </t>
  </si>
  <si>
    <t>DMR202G01H00-05-01746</t>
  </si>
  <si>
    <t xml:space="preserve">Autoclave Eléctrico de 30 Litros UTKBS-30V </t>
  </si>
  <si>
    <t>DMR202G01H00-05-01747</t>
  </si>
  <si>
    <t>CUSTOMED DOMINICANA SRL.</t>
  </si>
  <si>
    <t>DMR202G01H00-05-01748</t>
  </si>
  <si>
    <t>Nevera Freezer para Muestras BIOBASE</t>
  </si>
  <si>
    <t>DMR202G01H00-05-01811</t>
  </si>
  <si>
    <t>Silla / Taburete para Laboratorio Clínico</t>
  </si>
  <si>
    <t>BIONUCLEAR S.A.</t>
  </si>
  <si>
    <t>DMR202G01H00-05-01812</t>
  </si>
  <si>
    <t>DMR202G01H00-05-01813</t>
  </si>
  <si>
    <t>DMR202G01H00-05-01755</t>
  </si>
  <si>
    <t>Centrifuga de 24 Tubos de 5-15ml ALREADY. Mod.DSC-302SD</t>
  </si>
  <si>
    <t>CD3-18060133</t>
  </si>
  <si>
    <t>DMR202G01H00-05-01759</t>
  </si>
  <si>
    <t>Mezclador de Tubos Tipo Vórtex BOEKEL</t>
  </si>
  <si>
    <t>DMR202G01H00-05-01773</t>
  </si>
  <si>
    <t>Pipeta Automática Socorex 10-100ul</t>
  </si>
  <si>
    <t>DMR202G01H00-01-05579</t>
  </si>
  <si>
    <t>Cronómetro Digital</t>
  </si>
  <si>
    <t>DMR202G01H00-05-01795</t>
  </si>
  <si>
    <t>DMR202G01H00-05-01801</t>
  </si>
  <si>
    <t>DMR202G01H00-05-01758</t>
  </si>
  <si>
    <t>Mezclador Hematológico de 15 Tubos ALREADY</t>
  </si>
  <si>
    <t xml:space="preserve">Santiago de los Caballeros </t>
  </si>
  <si>
    <t>LABORATORIO CD4 Centro Diagnóstico y Atención Primaria "Gurabo" Santiago</t>
  </si>
  <si>
    <t>DMR202G01H00-05-01818</t>
  </si>
  <si>
    <t>DMR202G01H00-05-01765</t>
  </si>
  <si>
    <t>Termómetro Calibrado de Temperatura.Capacidad: -30 a 30 grado celsio.FZ80-1</t>
  </si>
  <si>
    <t>DMR202G01H00-05-01766</t>
  </si>
  <si>
    <t>DMR202G01H00-05-01767</t>
  </si>
  <si>
    <t>Nevera FARCO para Reactivos 21.5" con Puerta de Cristal.</t>
  </si>
  <si>
    <t>DMR202G01H00-05-01774</t>
  </si>
  <si>
    <t>DMR202G01H00-05-01777</t>
  </si>
  <si>
    <t>Pipeta Automática Socorex 1-10ul</t>
  </si>
  <si>
    <t>DMR202G01H00-05-01780</t>
  </si>
  <si>
    <t>Pipeta Automática Finnpipette Thermo 1-10ul</t>
  </si>
  <si>
    <t>DMR202G01H00-05-01781</t>
  </si>
  <si>
    <t>DMR202G01H00-05-01786</t>
  </si>
  <si>
    <t>Soporte P/7 para Pipetas Socorex</t>
  </si>
  <si>
    <t>DMR202G01H00-01-05573</t>
  </si>
  <si>
    <t>Reloj de Laboratorio (TIMER) de 1 Hora</t>
  </si>
  <si>
    <t>DMR202G01H00-01-05574</t>
  </si>
  <si>
    <t>DMR202G01H00-01-05580</t>
  </si>
  <si>
    <t>DMR202G01H00-05-01789</t>
  </si>
  <si>
    <t>DMR202G01H00-05-01792</t>
  </si>
  <si>
    <t>DMR202G01H00-05-01798</t>
  </si>
  <si>
    <t>DMR202G01H00-02-01655</t>
  </si>
  <si>
    <t>Computador Dell Optiplex 7060. Incluye: Monitor Dell 19" E1916H, Mouse y Teclado.</t>
  </si>
  <si>
    <t>DMR202G01H00-05-01745</t>
  </si>
  <si>
    <t xml:space="preserve">   Cuarto Electrico        Centro Diagnóstico y Atención Primaria "Porvenir" SPM</t>
  </si>
  <si>
    <t>DMR202G01H00-05-01744</t>
  </si>
  <si>
    <t xml:space="preserve">  Cuarto Electrico        Centro Diagnóstico y Atención Primaria "Porvenir" SPM</t>
  </si>
  <si>
    <t>DMR202G01H00-05-01814</t>
  </si>
  <si>
    <t>DMR202G01H00-05-01815</t>
  </si>
  <si>
    <t>DMR202G01H00-05-01816</t>
  </si>
  <si>
    <t>DMR202G01H00-05-01754</t>
  </si>
  <si>
    <t>Centrifuga de 24 Tubos de 5-15ml ALREADY</t>
  </si>
  <si>
    <t>CD3-18060131</t>
  </si>
  <si>
    <t>DMR202G01H00-05-01757</t>
  </si>
  <si>
    <t>SM1-18110252</t>
  </si>
  <si>
    <t>DMR202G01H00-05-01760</t>
  </si>
  <si>
    <t>DMR202G01H00-05-01768</t>
  </si>
  <si>
    <t>DMR202G01H00-05-01771</t>
  </si>
  <si>
    <t>DMR202G01H00-05-01772</t>
  </si>
  <si>
    <t>DMR202G01H00-05-01776</t>
  </si>
  <si>
    <t>DMR202G01H00-05-01782</t>
  </si>
  <si>
    <t>DMR202G01H00-05-01785</t>
  </si>
  <si>
    <t>DMR202G01H00-01-05571</t>
  </si>
  <si>
    <t>DMR202G01H00-01-05572</t>
  </si>
  <si>
    <t>DMR202G01H00-01-05577</t>
  </si>
  <si>
    <t>DMR202G01H00-01-05578</t>
  </si>
  <si>
    <t>DMR202G01H00-05-01788</t>
  </si>
  <si>
    <t>DMR202G01H00-05-01791</t>
  </si>
  <si>
    <t>DMR202G01H00-05-01794</t>
  </si>
  <si>
    <t>DMR202G01H00-05-01797</t>
  </si>
  <si>
    <t>DMR202G01H00-02-01654</t>
  </si>
  <si>
    <t>CPU: 4355MR2 / MONITOR: GF30KP2</t>
  </si>
  <si>
    <t>Paquete de Microsoft Office 2019</t>
  </si>
  <si>
    <t>DMR202G01H00-02-01673</t>
  </si>
  <si>
    <t>Impresora Zebra ZD410 P/Código de Barras</t>
  </si>
  <si>
    <t>50J183002855</t>
  </si>
  <si>
    <t>DMR202G01H00-02-01685</t>
  </si>
  <si>
    <t>Scanner Honeywell MK9540 USB P/Lector Código de Barras</t>
  </si>
  <si>
    <t>2K17423467</t>
  </si>
  <si>
    <t>DMR202G01H00-02-01688</t>
  </si>
  <si>
    <t>Impresora HP LaserJet Pro MFP M227FDW</t>
  </si>
  <si>
    <t>VND3C06175</t>
  </si>
  <si>
    <t>DMR202G01H00-02-01660</t>
  </si>
  <si>
    <t>CPU: 43ZZLR2 / MONITOR: FM65RM2</t>
  </si>
  <si>
    <t>San Pedro de Macoris, Región V de Salud</t>
  </si>
  <si>
    <t>Servicio Regional V (Este)</t>
  </si>
  <si>
    <t>DMR202G01H00-05-01743</t>
  </si>
  <si>
    <t>LABORATORIO CLINICO Centro Sanitario Santo Domingo</t>
  </si>
  <si>
    <t>DMR202G01H00-05-01808</t>
  </si>
  <si>
    <t>Nevera Freezer para Muestras Revco Thermo</t>
  </si>
  <si>
    <t>DMR202G01H00-05-01749</t>
  </si>
  <si>
    <t>DMR202G01H00-05-01750</t>
  </si>
  <si>
    <t>DMR202G01H00-05-01753</t>
  </si>
  <si>
    <t>DMR202G01H00-05-01817</t>
  </si>
  <si>
    <t>DMR202G01H00-05-01819</t>
  </si>
  <si>
    <t>DMR202G01H00-05-01761</t>
  </si>
  <si>
    <t>Autoclave Eléctrico de 48 Litros de Piso Fanem</t>
  </si>
  <si>
    <t>DMR202G01H00-05-01762</t>
  </si>
  <si>
    <t>DMR202G01H00-05-01763</t>
  </si>
  <si>
    <t>DMR202G01H00-05-01820</t>
  </si>
  <si>
    <t>Falta</t>
  </si>
  <si>
    <t>DMR202G01H00-05-01769</t>
  </si>
  <si>
    <t>DMR202G01H00-05-01770</t>
  </si>
  <si>
    <t>DMR202G01H00-05-01775</t>
  </si>
  <si>
    <t>DMR202G01H00-05-01778</t>
  </si>
  <si>
    <t>DMR202G01H00-05-01779</t>
  </si>
  <si>
    <t>DMR202G01H00-05-01783</t>
  </si>
  <si>
    <t>DMR202G01H00-05-01784</t>
  </si>
  <si>
    <t>DMR202G01H00-01-05575</t>
  </si>
  <si>
    <t>DMR202G01H00-05-01787</t>
  </si>
  <si>
    <t>DMR202G01H00-05-01790</t>
  </si>
  <si>
    <t>DMR202G01H00-05-01793</t>
  </si>
  <si>
    <t>DMR202G01H00-05-01796</t>
  </si>
  <si>
    <t>DMR202G01H00-02-01653</t>
  </si>
  <si>
    <t>CPU: 42W1MR2 / MONITOR: 2250KP2</t>
  </si>
  <si>
    <t>DMR202G01H00-02-01662</t>
  </si>
  <si>
    <t>DMR202G01H00-02-01672</t>
  </si>
  <si>
    <t>50J183002819</t>
  </si>
  <si>
    <t>DMR202G01H00-02-01675</t>
  </si>
  <si>
    <t>50J183002965</t>
  </si>
  <si>
    <t>DMR202G01H00-02-01682</t>
  </si>
  <si>
    <t>2K17412796</t>
  </si>
  <si>
    <t>Servicio Regional 0 (Sto.Dgo.)</t>
  </si>
  <si>
    <t>DMR202G01H00-02-01683</t>
  </si>
  <si>
    <t>2K17430374</t>
  </si>
  <si>
    <t>DMR202G01H00-02-01684</t>
  </si>
  <si>
    <t>2K17423985</t>
  </si>
  <si>
    <t>DMR202G01H00-02-01687</t>
  </si>
  <si>
    <t>VND3C06172</t>
  </si>
  <si>
    <t>DMR202G01H00-02-01676</t>
  </si>
  <si>
    <t>50J183002983</t>
  </si>
  <si>
    <t>Santo Domingo, D.N. Región 0 de Salud</t>
  </si>
  <si>
    <t>DMR202G01H00-02-01691</t>
  </si>
  <si>
    <t>VND3C31738</t>
  </si>
  <si>
    <t>DMR202G01H00-02-01674</t>
  </si>
  <si>
    <t>DMR202G01H00-02-01656</t>
  </si>
  <si>
    <t>Santiago de los Caballeros, Región II de Salud</t>
  </si>
  <si>
    <t>Servicio Regional II (Santiago)</t>
  </si>
  <si>
    <t>DMR202G01H00-02-01657</t>
  </si>
  <si>
    <t>DMR202G01H00-02-01658</t>
  </si>
  <si>
    <t>DMR202G01H00-02-01679</t>
  </si>
  <si>
    <t>DMR202G01H00-02-01680</t>
  </si>
  <si>
    <t>DMR202G01H00-02-01681</t>
  </si>
  <si>
    <t>DMR202G01H00-02-01692</t>
  </si>
  <si>
    <t>DMR202G01H00-02-01661</t>
  </si>
  <si>
    <t>DMR202G01H00-02-01677</t>
  </si>
  <si>
    <t>DMR202G01H00-02-01678</t>
  </si>
  <si>
    <t>DMR202G01H00-02-01690</t>
  </si>
  <si>
    <t>DMR202G01H00-05-01737</t>
  </si>
  <si>
    <t>Silla para Toma de Muestra</t>
  </si>
  <si>
    <t>DMR202G01H00-05-01738</t>
  </si>
  <si>
    <t>DMR202G01H00-05-01751</t>
  </si>
  <si>
    <t>DMR202G01H00-05-01752</t>
  </si>
  <si>
    <t>DMR202G01H00-05-01809</t>
  </si>
  <si>
    <t>DMR202G01H00-05-01810</t>
  </si>
  <si>
    <t>DMR202G01H00-05-01756</t>
  </si>
  <si>
    <t>DMR202G01H00-01-05569</t>
  </si>
  <si>
    <t>DMR202G01H00-01-05570</t>
  </si>
  <si>
    <t>DMR202G01H00-01-05576</t>
  </si>
  <si>
    <t>DMR202G01H00-05-01799</t>
  </si>
  <si>
    <t>Ck. 26096</t>
  </si>
  <si>
    <t>DMR202G01H00-05-01822</t>
  </si>
  <si>
    <t>BIONUCLEAR, S.A.</t>
  </si>
  <si>
    <t>DMR202G01H00-05-01823</t>
  </si>
  <si>
    <t>DMR202G01H00-05-01821</t>
  </si>
  <si>
    <t>Ck. 26612</t>
  </si>
  <si>
    <t>DMR202G01H00-02-01700</t>
  </si>
  <si>
    <t>Licencia de Enrolado. Incluye 7 Unidades de BIO PLUGIN PC LICENSE.                   (Cantidad: 8,000 Licencias)</t>
  </si>
  <si>
    <t>Juan Jose Escaño (Enc. De Activos SNS)</t>
  </si>
  <si>
    <t>SERVICIO NACIONAL DE SALUD (SNS)</t>
  </si>
  <si>
    <t>SEDECORP</t>
  </si>
  <si>
    <t>DMR202G01H00-02-01707</t>
  </si>
  <si>
    <t>Kit de Desarrollo Biométrico Avanzado M2SYS</t>
  </si>
  <si>
    <t>M2SEH5419060191</t>
  </si>
  <si>
    <t>DMR202G01H00-02-01708</t>
  </si>
  <si>
    <t>M2SEH5419060193</t>
  </si>
  <si>
    <t>DMR202G01H00-02-01709</t>
  </si>
  <si>
    <t>M2SEH5419060200</t>
  </si>
  <si>
    <t>DMR202G01H00-02-01710</t>
  </si>
  <si>
    <t>M2SEH5419060192</t>
  </si>
  <si>
    <t>DMR202G01H00-02-01711</t>
  </si>
  <si>
    <t>M2SEH5419060196</t>
  </si>
  <si>
    <t>DMR202G01H00-02-01712</t>
  </si>
  <si>
    <t>M2SEH5419060198</t>
  </si>
  <si>
    <t>DMR202G01H00-02-01701</t>
  </si>
  <si>
    <t>Impresora Térmica Epson TM-T88V (3599)</t>
  </si>
  <si>
    <t>X6TT002361</t>
  </si>
  <si>
    <t>Enc. De Activos SNS)</t>
  </si>
  <si>
    <t>DMR202G01H00-02-01702</t>
  </si>
  <si>
    <t>MXKF881392</t>
  </si>
  <si>
    <t>DMR202G01H00-02-01703</t>
  </si>
  <si>
    <t>MXKF886032</t>
  </si>
  <si>
    <t>DMR202G01H00-02-01704</t>
  </si>
  <si>
    <t>MXKF886026</t>
  </si>
  <si>
    <t>DMR202G01H00-02-01705</t>
  </si>
  <si>
    <t>MXKF886022</t>
  </si>
  <si>
    <t>DMR202G01H00-02-01706</t>
  </si>
  <si>
    <t>MXKF886023</t>
  </si>
  <si>
    <t>Ck. 26691</t>
  </si>
  <si>
    <t>DMR202G01H00-02-01729</t>
  </si>
  <si>
    <t>Laptop Dell Latitude 5490. Incluye: Bulto y Licencia de Office 2019.</t>
  </si>
  <si>
    <t>Laptop: 6W32NV2   Monitor: CN-0R16JC-72872-340-F54M</t>
  </si>
  <si>
    <t>Gerencia Técnica      Laynier Mieses</t>
  </si>
  <si>
    <t>PC OUTLET STORE, SRL.</t>
  </si>
  <si>
    <t>DMR202G01H00-02-01730</t>
  </si>
  <si>
    <t>Laptop: 2Z71NV2         Monitor: 5N7RCW2</t>
  </si>
  <si>
    <t>Gerencia Técnica  Candida Melendez</t>
  </si>
  <si>
    <t>Ck. 26792</t>
  </si>
  <si>
    <t>DMR202G01H00-02-01713</t>
  </si>
  <si>
    <t>Computador Dell Optiplex 3050. Incluye: Monitor y Mouse.</t>
  </si>
  <si>
    <t>CPU: F42F9T2   MONITOR: BQ68HS2</t>
  </si>
  <si>
    <t>DMR202G01H00-02-01714</t>
  </si>
  <si>
    <t>CPU: GP5F9T2  MONITOR: 2S68HS2</t>
  </si>
  <si>
    <t>DMR202G01H00-02-01715</t>
  </si>
  <si>
    <t>CPU: GPQC9T2   MONITOR: G4274S2</t>
  </si>
  <si>
    <t>DMR202G01H00-02-01716</t>
  </si>
  <si>
    <t>CPU: GP5C9T2  MONITOR: GR68HS2</t>
  </si>
  <si>
    <t>DMR202G01H00-02-01717</t>
  </si>
  <si>
    <t>CPU: F45F9T2  MONITOR: 3JTPK62</t>
  </si>
  <si>
    <t>DMR202G01H00-02-01718</t>
  </si>
  <si>
    <t>CPU: F4BD9T2  MONITOR: 7S68H52</t>
  </si>
  <si>
    <t>DMR202G01H00-02-01719</t>
  </si>
  <si>
    <t>CPU: 7TZ18N2  MONITOR: FQ68HS2</t>
  </si>
  <si>
    <t>DMR202G01H00-02-01720</t>
  </si>
  <si>
    <t>CPU: F46D9T2 MONITOR: 95274S2</t>
  </si>
  <si>
    <t>DMR202G01H00-02-01721</t>
  </si>
  <si>
    <t>UPS FORZA 500VA</t>
  </si>
  <si>
    <t>170712510093</t>
  </si>
  <si>
    <t>DMR202G01H00-02-01722</t>
  </si>
  <si>
    <t>180612504090</t>
  </si>
  <si>
    <t>180612504091</t>
  </si>
  <si>
    <t>DMR202G01H00-02-01724</t>
  </si>
  <si>
    <t>180612504092</t>
  </si>
  <si>
    <t>DMR202G01H00-02-01725</t>
  </si>
  <si>
    <t>190412500553</t>
  </si>
  <si>
    <t>DMR202G01H00-02-01726</t>
  </si>
  <si>
    <t>190412500554</t>
  </si>
  <si>
    <t>DMR202G01H00-02-01727</t>
  </si>
  <si>
    <t>190412500555</t>
  </si>
  <si>
    <t>DMR202G01H00-02-01728</t>
  </si>
  <si>
    <t>190412500556</t>
  </si>
  <si>
    <t>LABORATORIO CLINICO Hospital Luis L. Bogaert "Mao - Valverde "</t>
  </si>
  <si>
    <t>Ck. 27001</t>
  </si>
  <si>
    <t>DMR202G01H00-02-01741</t>
  </si>
  <si>
    <t>Impresora Zebra ZD410 Térmica. P/Código de Barras</t>
  </si>
  <si>
    <t>50J193303586</t>
  </si>
  <si>
    <t>DMR202G01H00-02-01742</t>
  </si>
  <si>
    <t>2K19410922</t>
  </si>
  <si>
    <t>DMR202G01H00-02-01738</t>
  </si>
  <si>
    <t>Computador Dell Optiplex 7070. Incluye: Monitor Dell 19" y Mouse.</t>
  </si>
  <si>
    <t>DMR202G01H00-02-01740</t>
  </si>
  <si>
    <t>Ck. 27096</t>
  </si>
  <si>
    <t>DMR202G01H00-01-05643</t>
  </si>
  <si>
    <t>Cronómetro Digital EA</t>
  </si>
  <si>
    <t>DMR202G01H00-01-05644</t>
  </si>
  <si>
    <t>DMR202G01H00-05-01840</t>
  </si>
  <si>
    <t>Autoclave P/Laboratorio Tipo Olla 24L All American</t>
  </si>
  <si>
    <t>F0003201</t>
  </si>
  <si>
    <t>DMR202G01H00-05-01841</t>
  </si>
  <si>
    <t>Votarex Mezclador 0-3000 RPM Thermo</t>
  </si>
  <si>
    <t>I8KT17020</t>
  </si>
  <si>
    <t>DMR202G01H00-05-01842</t>
  </si>
  <si>
    <t>I8KT17024</t>
  </si>
  <si>
    <t>DMR202G01H00-05-01843</t>
  </si>
  <si>
    <t>DMR202G01H00-05-01844</t>
  </si>
  <si>
    <t>DMR202G01H00-05-01845</t>
  </si>
  <si>
    <t>DMR202G01H00-05-01848</t>
  </si>
  <si>
    <t>Pipeta Automática Finnpipette F3 10-100ul Thermo</t>
  </si>
  <si>
    <t>DMR202G01H00-05-01849</t>
  </si>
  <si>
    <t>DMR202G01H00-05-01851</t>
  </si>
  <si>
    <t>DMR202G01H00-05-01853</t>
  </si>
  <si>
    <t>Nevera FARCO para Reactivos 21.5" con 1PTA de Cristal.</t>
  </si>
  <si>
    <t>DMR202G01H00-05-01850</t>
  </si>
  <si>
    <t>Silla P/Extracción de Sangre CG Gris "EA"</t>
  </si>
  <si>
    <t>DMR202G01H00-05-01846</t>
  </si>
  <si>
    <t>DMR202G01H00-05-01847</t>
  </si>
  <si>
    <t>DMR202G01H00-05-01852</t>
  </si>
  <si>
    <t>Ck. 27128 Itbis Caja Chica</t>
  </si>
  <si>
    <t>DMR202G01H00-05-01854</t>
  </si>
  <si>
    <t>Ref. H1019</t>
  </si>
  <si>
    <t>BIO-NOVA, SRL.</t>
  </si>
  <si>
    <t>DMR202G01H00-05-01855</t>
  </si>
  <si>
    <t>Ref. E1015</t>
  </si>
  <si>
    <t>Ck. 27136</t>
  </si>
  <si>
    <t>DMR202G01H00-05-01856</t>
  </si>
  <si>
    <t>Centrifuga Digital de 24 Tubo. Mod. DSC-1524SD-2</t>
  </si>
  <si>
    <t xml:space="preserve">CD3-19110207 </t>
  </si>
  <si>
    <t>DMR202G01H00-05-01857</t>
  </si>
  <si>
    <t>CD3-19110271</t>
  </si>
  <si>
    <t>DMR202G01H00-05-01858</t>
  </si>
  <si>
    <t>Pipeta Finnpipette F3 1-10ML Thermo Scientific. Mod. 4640070</t>
  </si>
  <si>
    <t xml:space="preserve">Lote: PH52691 </t>
  </si>
  <si>
    <t>DMR202G01H00-05-01859</t>
  </si>
  <si>
    <t>Lote: PH52701</t>
  </si>
  <si>
    <t>Ck.02712</t>
  </si>
  <si>
    <t>FM05-01860</t>
  </si>
  <si>
    <t xml:space="preserve">Camion foton,modelo  AUMARK S, año 2022  Color:blanco </t>
  </si>
  <si>
    <t>Chassis: LVBV4JBB8NY001857</t>
  </si>
  <si>
    <t>CATHAY GROUP, SRL</t>
  </si>
  <si>
    <t>Ck.02713</t>
  </si>
  <si>
    <t>FM05-01861</t>
  </si>
  <si>
    <t>Camion foton,modelo  AUMARK S, año 2022  Color:blanco.</t>
  </si>
  <si>
    <t>Chassis: LVBV4JBB8NY001858</t>
  </si>
  <si>
    <t>Transf. 47-22</t>
  </si>
  <si>
    <t>FM05-01953</t>
  </si>
  <si>
    <t>Laptop Dell Latitude 15-7520/Disco Duro 512GB</t>
  </si>
  <si>
    <t>JFD92J3</t>
  </si>
  <si>
    <t xml:space="preserve">Santiago de Aza     Gerencia Tecnica </t>
  </si>
  <si>
    <t>FM05-01954</t>
  </si>
  <si>
    <t>B1BB2J3</t>
  </si>
  <si>
    <t xml:space="preserve">Robert Nina   Gerencia Tecnica </t>
  </si>
  <si>
    <t>FM05-01955</t>
  </si>
  <si>
    <t>Impresora Multifuncional a Color M578DN</t>
  </si>
  <si>
    <t>MXBC16II32</t>
  </si>
  <si>
    <t xml:space="preserve">Dirección Ejecutiva    </t>
  </si>
  <si>
    <t>FM05-01956</t>
  </si>
  <si>
    <t>MXBC16II2M</t>
  </si>
  <si>
    <t xml:space="preserve">DTIC </t>
  </si>
  <si>
    <t>FM05-01957</t>
  </si>
  <si>
    <t>Impresora Multifuncional HP a Color MFP M480</t>
  </si>
  <si>
    <t>CNCRPBM4L7</t>
  </si>
  <si>
    <t xml:space="preserve">Miriam Suero  Administractivo-Financiero </t>
  </si>
  <si>
    <t>FM05-01958</t>
  </si>
  <si>
    <t>CNCRPBM4TT</t>
  </si>
  <si>
    <t xml:space="preserve">Rosa Sanchez       Gerencia Tecnica </t>
  </si>
  <si>
    <t>FM05-01959</t>
  </si>
  <si>
    <t>CNCRPBM4VY</t>
  </si>
  <si>
    <t xml:space="preserve">Melvin Brioso         Gerencia Tecnica </t>
  </si>
  <si>
    <t>FM05-01960</t>
  </si>
  <si>
    <t>CNCRPBM4SZ</t>
  </si>
  <si>
    <t xml:space="preserve">Auditores Financiero </t>
  </si>
  <si>
    <t>FM05-01961</t>
  </si>
  <si>
    <t>Lapto Dell Latitude 7520</t>
  </si>
  <si>
    <t>9J36CK3</t>
  </si>
  <si>
    <t xml:space="preserve">Jose Santana        Gerencia Tecnica </t>
  </si>
  <si>
    <t>FM05-01962</t>
  </si>
  <si>
    <t>1696CK3</t>
  </si>
  <si>
    <t xml:space="preserve">Cristian Ramirez            Gerencia Tecnica </t>
  </si>
  <si>
    <t>Transf. 60-22</t>
  </si>
  <si>
    <t>FM05-01963</t>
  </si>
  <si>
    <t>1R36CK3</t>
  </si>
  <si>
    <t xml:space="preserve">Miriam Baez de Suero  Administractivo-Financiero </t>
  </si>
  <si>
    <t>CLICTECK S.R.L</t>
  </si>
  <si>
    <t>FM05-01964</t>
  </si>
  <si>
    <t>CP36CK3</t>
  </si>
  <si>
    <t>Erick Laura Salcedo Monitores Financiero</t>
  </si>
  <si>
    <t>FM05-01965</t>
  </si>
  <si>
    <t>2RY6CK3</t>
  </si>
  <si>
    <t xml:space="preserve">Maria Jacqueline  Monititores Financiero </t>
  </si>
  <si>
    <t>FM05-01966</t>
  </si>
  <si>
    <t>2796CK3</t>
  </si>
  <si>
    <t xml:space="preserve">Maria Nurys Amador     Gerencia Tecnica </t>
  </si>
  <si>
    <t>FM05-01967</t>
  </si>
  <si>
    <t>7M36CK3</t>
  </si>
  <si>
    <t>Clara Elena Florentino Monitores Financiero</t>
  </si>
  <si>
    <t>FM05-01968</t>
  </si>
  <si>
    <t>C196CK3</t>
  </si>
  <si>
    <t xml:space="preserve">Leticia Coss            Gerencia Tecnica </t>
  </si>
  <si>
    <t>FM05-01969</t>
  </si>
  <si>
    <t>8496CK3</t>
  </si>
  <si>
    <t>Licelotte Carvajal     Monitores Financiero</t>
  </si>
  <si>
    <t>FM05-01970</t>
  </si>
  <si>
    <t>57Y5CK3</t>
  </si>
  <si>
    <t xml:space="preserve">Joaquin Isabel            Monitores Financiero </t>
  </si>
  <si>
    <t>FM05-01971</t>
  </si>
  <si>
    <t>3J36CK3</t>
  </si>
  <si>
    <t xml:space="preserve">Salvador Ernesto Romero Garcia                  Monitores Financiero </t>
  </si>
  <si>
    <t>CK.27748</t>
  </si>
  <si>
    <t>FM05-01972</t>
  </si>
  <si>
    <t xml:space="preserve">Computadora Dell Optiplex 7090,Modelo D15S incluye Mause teclado y Monitor </t>
  </si>
  <si>
    <t xml:space="preserve"> H0DLTH3</t>
  </si>
  <si>
    <t xml:space="preserve">Yohany M. Arias Castro    Directora de Laboratorio Clinico e Imágenes </t>
  </si>
  <si>
    <t>FM05-01973</t>
  </si>
  <si>
    <t xml:space="preserve">Computadora Dell Optiplex 7090,incluye Mause y teclado + Monitor </t>
  </si>
  <si>
    <t>H00VNK3</t>
  </si>
  <si>
    <t>FM05-01974</t>
  </si>
  <si>
    <t>G00VNK3</t>
  </si>
  <si>
    <t>FM05-01975</t>
  </si>
  <si>
    <t>8YZTNK3</t>
  </si>
  <si>
    <t>FM05-01976</t>
  </si>
  <si>
    <t>BQ8DXP3</t>
  </si>
  <si>
    <t>FM05-01977</t>
  </si>
  <si>
    <t>1N8DXP3</t>
  </si>
  <si>
    <t>FM05-01978</t>
  </si>
  <si>
    <t>CM8DXP3</t>
  </si>
  <si>
    <t>FM05-01979</t>
  </si>
  <si>
    <t>CYZTNK3</t>
  </si>
  <si>
    <t>FM05-01980</t>
  </si>
  <si>
    <t>4HTCXP3</t>
  </si>
  <si>
    <t>FM05-01981</t>
  </si>
  <si>
    <t>DJMH2N3</t>
  </si>
  <si>
    <t>FM05-01982</t>
  </si>
  <si>
    <t>D1LLVD3</t>
  </si>
  <si>
    <t>FM05-01983</t>
  </si>
  <si>
    <t>110VNK3</t>
  </si>
  <si>
    <t>FM05-01984</t>
  </si>
  <si>
    <t>5Q8DXP3</t>
  </si>
  <si>
    <t>FM05-01985</t>
  </si>
  <si>
    <t>8ZZTNK3</t>
  </si>
  <si>
    <t>FM05-01986</t>
  </si>
  <si>
    <t>5CX9XP3</t>
  </si>
  <si>
    <t>FM05-01987</t>
  </si>
  <si>
    <t>HZZTNK3</t>
  </si>
  <si>
    <t>FM05-01988</t>
  </si>
  <si>
    <t>6CX9XP3</t>
  </si>
  <si>
    <t>FM05-01989</t>
  </si>
  <si>
    <t>GP8DXP3</t>
  </si>
  <si>
    <t>FM05-01990</t>
  </si>
  <si>
    <t>BTT4FF3</t>
  </si>
  <si>
    <t>FM05-01991</t>
  </si>
  <si>
    <t>UPS APC 6000VA Modelo-BE600M1 120V</t>
  </si>
  <si>
    <t>S0B2214N03492</t>
  </si>
  <si>
    <t>FM05-01992</t>
  </si>
  <si>
    <t>S0B2214N03814</t>
  </si>
  <si>
    <t>FM05-01993</t>
  </si>
  <si>
    <t>S0B2214N03762</t>
  </si>
  <si>
    <t>FM05-01994</t>
  </si>
  <si>
    <t>S0B2214N03832</t>
  </si>
  <si>
    <t>FM05-01995</t>
  </si>
  <si>
    <t>S0B2214N038827</t>
  </si>
  <si>
    <t>FM05-01996</t>
  </si>
  <si>
    <t>S0B2214N03757</t>
  </si>
  <si>
    <t>FM05-01997</t>
  </si>
  <si>
    <t>S0B2214N03835</t>
  </si>
  <si>
    <t>FM05-01998</t>
  </si>
  <si>
    <t>S0B2214N03487</t>
  </si>
  <si>
    <t>FM05-01999</t>
  </si>
  <si>
    <t>S0B2214N03839</t>
  </si>
  <si>
    <t>FM05-02000</t>
  </si>
  <si>
    <t>S0B2214N03752</t>
  </si>
  <si>
    <t>FM05-02001</t>
  </si>
  <si>
    <t>S0B2214N03520</t>
  </si>
  <si>
    <t>FM05-02002</t>
  </si>
  <si>
    <t>S0B2214N03838</t>
  </si>
  <si>
    <t>FM05-02003</t>
  </si>
  <si>
    <t>S0B2214N03756</t>
  </si>
  <si>
    <t>FM05-02004</t>
  </si>
  <si>
    <t>S0B2214N03826</t>
  </si>
  <si>
    <t>FM05-02005</t>
  </si>
  <si>
    <t>S0B2214N03330</t>
  </si>
  <si>
    <t>FM05-02006</t>
  </si>
  <si>
    <t>S0B2214N03525</t>
  </si>
  <si>
    <t>FM05-02047</t>
  </si>
  <si>
    <t>S0B2214N3783</t>
  </si>
  <si>
    <t>FM05-02048</t>
  </si>
  <si>
    <t>S0B2214N03829</t>
  </si>
  <si>
    <t>FM05-02049</t>
  </si>
  <si>
    <t>S0B2214N04517</t>
  </si>
  <si>
    <t>CK.27755</t>
  </si>
  <si>
    <t>FM05-02007</t>
  </si>
  <si>
    <t>Impresora Epson EcoTank L3210</t>
  </si>
  <si>
    <t>XAGB311256</t>
  </si>
  <si>
    <t>FM05-02008</t>
  </si>
  <si>
    <t>XAGB311132</t>
  </si>
  <si>
    <t>FM05-02009</t>
  </si>
  <si>
    <t>XAGB311220</t>
  </si>
  <si>
    <t>FM05-02010</t>
  </si>
  <si>
    <t>XAGB311227</t>
  </si>
  <si>
    <t>FM05-02011</t>
  </si>
  <si>
    <t>XAGB311223</t>
  </si>
  <si>
    <t>FM05-02012</t>
  </si>
  <si>
    <t>XAGB311212</t>
  </si>
  <si>
    <t>FM05-02013</t>
  </si>
  <si>
    <t>XAGB11238</t>
  </si>
  <si>
    <t>FM05-02014</t>
  </si>
  <si>
    <t>XAGB311226</t>
  </si>
  <si>
    <t>FM05-02015</t>
  </si>
  <si>
    <t>XAGB311218</t>
  </si>
  <si>
    <t>FM05-02016</t>
  </si>
  <si>
    <t>XAGB311243</t>
  </si>
  <si>
    <t>FM05-02017</t>
  </si>
  <si>
    <t>XAGB311235</t>
  </si>
  <si>
    <t>FM05-02018</t>
  </si>
  <si>
    <t>XAGB311236</t>
  </si>
  <si>
    <t>FM05-02019</t>
  </si>
  <si>
    <t>XAGB311252</t>
  </si>
  <si>
    <t>FM05-02020</t>
  </si>
  <si>
    <t>XAGB311222</t>
  </si>
  <si>
    <t>FM05-02021</t>
  </si>
  <si>
    <t>XAGB311231</t>
  </si>
  <si>
    <t>FM05-02022</t>
  </si>
  <si>
    <t>XAGB311240</t>
  </si>
  <si>
    <t>FM05-02023</t>
  </si>
  <si>
    <t>XAGB311216</t>
  </si>
  <si>
    <t>FM05-02024</t>
  </si>
  <si>
    <t>XAGB311234</t>
  </si>
  <si>
    <t>FM05-02025</t>
  </si>
  <si>
    <t>XAGB311233</t>
  </si>
  <si>
    <t>FM05-02027</t>
  </si>
  <si>
    <t>TABLET SAMSUNG  GALAXY A7 (Modelo SM-T505N)</t>
  </si>
  <si>
    <t>R9TR606515J</t>
  </si>
  <si>
    <t>FM05-02028</t>
  </si>
  <si>
    <t>R9TR60669LJ</t>
  </si>
  <si>
    <t>FM05-02029</t>
  </si>
  <si>
    <t>R9TR60665ZJ</t>
  </si>
  <si>
    <t>FM05-02030</t>
  </si>
  <si>
    <t>R9TR6064WQJ</t>
  </si>
  <si>
    <t>FM05-02031</t>
  </si>
  <si>
    <t>R9TR606618J</t>
  </si>
  <si>
    <t>FM05-02032</t>
  </si>
  <si>
    <t>R9TR606619J</t>
  </si>
  <si>
    <t>FM05-02033</t>
  </si>
  <si>
    <t>R9TR60669CJ</t>
  </si>
  <si>
    <t>FM05-02034</t>
  </si>
  <si>
    <t>R9TR60668NJ</t>
  </si>
  <si>
    <t>FM05-02035</t>
  </si>
  <si>
    <t>R9TR6064WFJ</t>
  </si>
  <si>
    <t>FM05-02036</t>
  </si>
  <si>
    <t>R9TR606534J</t>
  </si>
  <si>
    <t>FM05-02037</t>
  </si>
  <si>
    <t>R9TR60660ZJ</t>
  </si>
  <si>
    <t>FM05-02038</t>
  </si>
  <si>
    <t>R9TR6066LCJ</t>
  </si>
  <si>
    <t>FM05-02039</t>
  </si>
  <si>
    <t>R9TR60663KJ</t>
  </si>
  <si>
    <t>FM05-02040</t>
  </si>
  <si>
    <t>R9TR60645J</t>
  </si>
  <si>
    <t>FM05-02041</t>
  </si>
  <si>
    <t>R9TR6066LGJ</t>
  </si>
  <si>
    <t>FM05-02042</t>
  </si>
  <si>
    <t>R9TR6066KBJ</t>
  </si>
  <si>
    <t>FM05-02043</t>
  </si>
  <si>
    <t>R9TR6066L2J</t>
  </si>
  <si>
    <t>FM05-02044</t>
  </si>
  <si>
    <t>R9TR6066KWJ</t>
  </si>
  <si>
    <t>FM05-02045</t>
  </si>
  <si>
    <t>R9TR6065TNJ</t>
  </si>
  <si>
    <t>FM05-02046</t>
  </si>
  <si>
    <t>R9TR60663QJ</t>
  </si>
  <si>
    <t>CK.27758</t>
  </si>
  <si>
    <t>FM-01</t>
  </si>
  <si>
    <t>Motocicleta XR125L -Blanco, Año 2022</t>
  </si>
  <si>
    <t>Chasis LTMJD290N5500112</t>
  </si>
  <si>
    <t>FM-02</t>
  </si>
  <si>
    <t>Chasis LTMJD290N5500071</t>
  </si>
  <si>
    <t>FM-03</t>
  </si>
  <si>
    <t>Chasis LTMJD290N5500086</t>
  </si>
  <si>
    <t>FM-04</t>
  </si>
  <si>
    <t>Chasis LTMJD290N5500078</t>
  </si>
  <si>
    <t>FM-05</t>
  </si>
  <si>
    <t>Chasis LTMJD290N5500073</t>
  </si>
  <si>
    <t>FM-06</t>
  </si>
  <si>
    <t>Chasis LTMJD290N5500087</t>
  </si>
  <si>
    <t>FM-07</t>
  </si>
  <si>
    <t>Chasis LTMJD290N5500079</t>
  </si>
  <si>
    <t>FM-08</t>
  </si>
  <si>
    <t>Chasis LTMJD290N5500082</t>
  </si>
  <si>
    <t>FM-09</t>
  </si>
  <si>
    <t>Chasis LTMJD290N5500088</t>
  </si>
  <si>
    <t>FM-10</t>
  </si>
  <si>
    <t>Chasis LTMJD290N5500091</t>
  </si>
  <si>
    <t>CK.27760</t>
  </si>
  <si>
    <t>FM05-02051</t>
  </si>
  <si>
    <t>Impresora Epson EcoTank L3210.Color Negro</t>
  </si>
  <si>
    <t>XAGB292046</t>
  </si>
  <si>
    <t>FM05-02052</t>
  </si>
  <si>
    <t>XAGB292060</t>
  </si>
  <si>
    <t>FM05-02053</t>
  </si>
  <si>
    <t>XAGB292067</t>
  </si>
  <si>
    <t>FM05-02054</t>
  </si>
  <si>
    <t>XAGB292047</t>
  </si>
  <si>
    <t>FM05-02055</t>
  </si>
  <si>
    <t>XAGB292055</t>
  </si>
  <si>
    <t>FM05-02056</t>
  </si>
  <si>
    <t>XAGB292054</t>
  </si>
  <si>
    <t>FM05-02057</t>
  </si>
  <si>
    <t>XAGB292059</t>
  </si>
  <si>
    <t>FM05-02058</t>
  </si>
  <si>
    <t>XAGB292066</t>
  </si>
  <si>
    <t>FM05-02059</t>
  </si>
  <si>
    <t>XAGB292057</t>
  </si>
  <si>
    <t>FM05-02060</t>
  </si>
  <si>
    <t>XAGB292069</t>
  </si>
  <si>
    <t>FM05-02061</t>
  </si>
  <si>
    <t>UPS APC Modelo BE600M1</t>
  </si>
  <si>
    <t>OB2216N01605</t>
  </si>
  <si>
    <t>FM05-02062</t>
  </si>
  <si>
    <t>OB2216N01607</t>
  </si>
  <si>
    <t>FM05-02063</t>
  </si>
  <si>
    <t>OB2216N016248</t>
  </si>
  <si>
    <t>FM05-02064</t>
  </si>
  <si>
    <t>OB2216N07814</t>
  </si>
  <si>
    <t>FM.05-02065</t>
  </si>
  <si>
    <t>OB2216N01564</t>
  </si>
  <si>
    <t>FM05-02066</t>
  </si>
  <si>
    <t>OB2216N01557</t>
  </si>
  <si>
    <t>FM05-02067</t>
  </si>
  <si>
    <t>OB2216N01326</t>
  </si>
  <si>
    <t>FM05-02068</t>
  </si>
  <si>
    <t>OB2216N01576</t>
  </si>
  <si>
    <t>FM05-02069</t>
  </si>
  <si>
    <t>OB2216N01740</t>
  </si>
  <si>
    <t>FM05-02070</t>
  </si>
  <si>
    <t>OB2216N01525</t>
  </si>
  <si>
    <t>FM05-02071</t>
  </si>
  <si>
    <t>CNGBPK3</t>
  </si>
  <si>
    <t>FM05-02072</t>
  </si>
  <si>
    <t>CNGBPK4</t>
  </si>
  <si>
    <t>FM05-02073</t>
  </si>
  <si>
    <t>CNGBPK5</t>
  </si>
  <si>
    <t>FM05-02074</t>
  </si>
  <si>
    <t>CNGBPK6</t>
  </si>
  <si>
    <t>FM05-02075</t>
  </si>
  <si>
    <t>CNGBPK7</t>
  </si>
  <si>
    <t>FM05-02076</t>
  </si>
  <si>
    <t>CNGBPK8</t>
  </si>
  <si>
    <t>FM05-02077</t>
  </si>
  <si>
    <t>CNGBPK9</t>
  </si>
  <si>
    <t>FM05-02078</t>
  </si>
  <si>
    <t>CNGBPK10</t>
  </si>
  <si>
    <t>FM05-02079</t>
  </si>
  <si>
    <t>CNGBPK11</t>
  </si>
  <si>
    <t>FM05-02080</t>
  </si>
  <si>
    <t>CNGBPK12</t>
  </si>
  <si>
    <t>CK.27767</t>
  </si>
  <si>
    <t>FM05-02091</t>
  </si>
  <si>
    <t xml:space="preserve">Lector Codigo de Barras 2connet </t>
  </si>
  <si>
    <t>SOLUMAN INDUSTRIAL, EIRL</t>
  </si>
  <si>
    <t>FM05-02092</t>
  </si>
  <si>
    <t>FM05-02093</t>
  </si>
  <si>
    <t>FM05-02094</t>
  </si>
  <si>
    <t>FM05-02095</t>
  </si>
  <si>
    <t>FM05-02096</t>
  </si>
  <si>
    <t xml:space="preserve"> </t>
  </si>
  <si>
    <t>FM05-02097</t>
  </si>
  <si>
    <t>FM05-02098</t>
  </si>
  <si>
    <t>FM05-02099</t>
  </si>
  <si>
    <t>FM05-02100</t>
  </si>
  <si>
    <t>FM05-02101</t>
  </si>
  <si>
    <t>FM05-02102</t>
  </si>
  <si>
    <t>FM05-02103</t>
  </si>
  <si>
    <t>FM05-02104</t>
  </si>
  <si>
    <t>FM05-02105</t>
  </si>
  <si>
    <t>FM05-02106</t>
  </si>
  <si>
    <t>FM05-02107</t>
  </si>
  <si>
    <t>FM05-02108</t>
  </si>
  <si>
    <t>FM05-02109</t>
  </si>
  <si>
    <t>FM05-02110</t>
  </si>
  <si>
    <t>FM05-02111</t>
  </si>
  <si>
    <t>FM05-02112</t>
  </si>
  <si>
    <t>FM05-02113</t>
  </si>
  <si>
    <t>FM05-02114</t>
  </si>
  <si>
    <t>FM05-02115</t>
  </si>
  <si>
    <t>FM05-02116</t>
  </si>
  <si>
    <t>FM05-02117</t>
  </si>
  <si>
    <t>FM05-02118</t>
  </si>
  <si>
    <t>FM05-02119</t>
  </si>
  <si>
    <t>FM05-02120</t>
  </si>
  <si>
    <t>FM05-02121</t>
  </si>
  <si>
    <t>FM05-02122</t>
  </si>
  <si>
    <t>FM05-02123</t>
  </si>
  <si>
    <t>FM05-02124</t>
  </si>
  <si>
    <t>FM05-02125</t>
  </si>
  <si>
    <t>FM05-02126</t>
  </si>
  <si>
    <t>FM05-02127</t>
  </si>
  <si>
    <t>FM05-02128</t>
  </si>
  <si>
    <t>FM05-02129</t>
  </si>
  <si>
    <t>FM05-02130</t>
  </si>
  <si>
    <t>FM05-02131</t>
  </si>
  <si>
    <t>FM05-02132</t>
  </si>
  <si>
    <t>FM05-02133</t>
  </si>
  <si>
    <t>FM05-02134</t>
  </si>
  <si>
    <t>FM05-02135</t>
  </si>
  <si>
    <t>FM05-02136</t>
  </si>
  <si>
    <t>FM05-02137</t>
  </si>
  <si>
    <t>FM05-02138</t>
  </si>
  <si>
    <t>FM05-02139</t>
  </si>
  <si>
    <t>FM05-02140</t>
  </si>
  <si>
    <t>FM05-02141</t>
  </si>
  <si>
    <t>FM05-02142</t>
  </si>
  <si>
    <t>FM05-02143</t>
  </si>
  <si>
    <t>FM05-02144</t>
  </si>
  <si>
    <t>CK.27772</t>
  </si>
  <si>
    <t>FM05-02245</t>
  </si>
  <si>
    <t xml:space="preserve">Archivo Metalico de 4 Gavetas,color Gris </t>
  </si>
  <si>
    <t>MUEBLES OMAR  S.A.</t>
  </si>
  <si>
    <t>FM05-02246</t>
  </si>
  <si>
    <t>FM05-02247</t>
  </si>
  <si>
    <t>FM05-02248</t>
  </si>
  <si>
    <t>FM05-02249</t>
  </si>
  <si>
    <t>FM05-02250</t>
  </si>
  <si>
    <t>FM05-02251</t>
  </si>
  <si>
    <t>FM05-02252</t>
  </si>
  <si>
    <t>FM05-02253</t>
  </si>
  <si>
    <t>FM05-02254</t>
  </si>
  <si>
    <t>FM05-02255</t>
  </si>
  <si>
    <t>FM05-02256</t>
  </si>
  <si>
    <t>FM05-02257</t>
  </si>
  <si>
    <t>FM05-02258</t>
  </si>
  <si>
    <t>FM05-02259</t>
  </si>
  <si>
    <t>FM05-02260</t>
  </si>
  <si>
    <t>FM05-02261</t>
  </si>
  <si>
    <t>FM05-02262</t>
  </si>
  <si>
    <t xml:space="preserve">Bancada para 3 Persona, Estructura Metalica Plateada </t>
  </si>
  <si>
    <t>FM05-02263</t>
  </si>
  <si>
    <t>FM05-02264</t>
  </si>
  <si>
    <t>FM05-02265</t>
  </si>
  <si>
    <t>CK.27796</t>
  </si>
  <si>
    <t>FM05-02026</t>
  </si>
  <si>
    <t>Televisor Samsumg de 55 Pulgada LCD</t>
  </si>
  <si>
    <t>OBWU3CGR904146</t>
  </si>
  <si>
    <t xml:space="preserve">Gerencia Tecnica          </t>
  </si>
  <si>
    <t>FM05-02050</t>
  </si>
  <si>
    <t>OBWU3CGR904249</t>
  </si>
  <si>
    <t>FM05-02226</t>
  </si>
  <si>
    <t>UPS APC,120V,1 USB - BE600M1</t>
  </si>
  <si>
    <t>S0B2219N05427</t>
  </si>
  <si>
    <t>Dra. Rubelina Santos       (Direccion de asistencia a la red)</t>
  </si>
  <si>
    <t>FM05-02227</t>
  </si>
  <si>
    <t>S0B2219N05287</t>
  </si>
  <si>
    <t>FM05-02228</t>
  </si>
  <si>
    <t>S0B2219N10293</t>
  </si>
  <si>
    <t>FM05-02229</t>
  </si>
  <si>
    <t>S0B2219N08495</t>
  </si>
  <si>
    <t>FM05-02230</t>
  </si>
  <si>
    <t>S0B2216N09617</t>
  </si>
  <si>
    <t>FM05-02231</t>
  </si>
  <si>
    <t>S0B2216N01520</t>
  </si>
  <si>
    <t>FM05-02232</t>
  </si>
  <si>
    <t>S0B2216N09579</t>
  </si>
  <si>
    <t>FM05-02233</t>
  </si>
  <si>
    <t>S0B2216N09552</t>
  </si>
  <si>
    <t>FM05-02234</t>
  </si>
  <si>
    <t>S0B2216N09567</t>
  </si>
  <si>
    <t>FM05-02235</t>
  </si>
  <si>
    <t>S0B2219N07377</t>
  </si>
  <si>
    <t>FM05-02236</t>
  </si>
  <si>
    <t>S0B2219N07356</t>
  </si>
  <si>
    <t>FM05-02237</t>
  </si>
  <si>
    <t>S0B2214N03820</t>
  </si>
  <si>
    <t>FM05-02238</t>
  </si>
  <si>
    <t>S0B2214N07799</t>
  </si>
  <si>
    <t>FM05-02239</t>
  </si>
  <si>
    <t>S0B2214N03818</t>
  </si>
  <si>
    <t>FM05-02240</t>
  </si>
  <si>
    <t>S4B2216P28100</t>
  </si>
  <si>
    <t>FM05-02241</t>
  </si>
  <si>
    <t>S4B2216P28213</t>
  </si>
  <si>
    <t>FM05-02242</t>
  </si>
  <si>
    <t>S4B2216P28097</t>
  </si>
  <si>
    <t>FM05-02243</t>
  </si>
  <si>
    <t>S4B2216P28158</t>
  </si>
  <si>
    <t>FM05-02244</t>
  </si>
  <si>
    <t>S4B2214P15917</t>
  </si>
  <si>
    <t>FM05-02145</t>
  </si>
  <si>
    <t>S4B2214P15774</t>
  </si>
  <si>
    <t>FM05-02146</t>
  </si>
  <si>
    <t>S4B2214P15898</t>
  </si>
  <si>
    <t>FM05-02147</t>
  </si>
  <si>
    <t>S4B2214P15778</t>
  </si>
  <si>
    <t>FM05-02150</t>
  </si>
  <si>
    <t>S0B2216N10238</t>
  </si>
  <si>
    <t>FM05-02181</t>
  </si>
  <si>
    <t>S4B2214P27965</t>
  </si>
  <si>
    <t>FM05-02182</t>
  </si>
  <si>
    <t>S4B2214P28050</t>
  </si>
  <si>
    <t>FM05-02183</t>
  </si>
  <si>
    <t>S4B2214P10228</t>
  </si>
  <si>
    <t>FM05-02184</t>
  </si>
  <si>
    <t>S4B2214P09591</t>
  </si>
  <si>
    <t>FM05-02185</t>
  </si>
  <si>
    <t>S4B2214P09411</t>
  </si>
  <si>
    <t>FM05-02186</t>
  </si>
  <si>
    <t>S4B2214P09578</t>
  </si>
  <si>
    <t>FM05-02187</t>
  </si>
  <si>
    <t>S4B2214P09604</t>
  </si>
  <si>
    <t>FM05-02201</t>
  </si>
  <si>
    <t>XAGC175872</t>
  </si>
  <si>
    <t>FM05-02202</t>
  </si>
  <si>
    <t>XAGC175850</t>
  </si>
  <si>
    <t>FM05-02203</t>
  </si>
  <si>
    <t>XAGC175864</t>
  </si>
  <si>
    <t>FM05-02204</t>
  </si>
  <si>
    <t>XAGC175887</t>
  </si>
  <si>
    <t>FM05-02205</t>
  </si>
  <si>
    <t>XAGC175897</t>
  </si>
  <si>
    <t>FM05-02206</t>
  </si>
  <si>
    <t>XAGC175856</t>
  </si>
  <si>
    <t>FM05-02207</t>
  </si>
  <si>
    <t>XAGC175868</t>
  </si>
  <si>
    <t>FM05-02208</t>
  </si>
  <si>
    <t>XAGC175880</t>
  </si>
  <si>
    <t>FM05-02209</t>
  </si>
  <si>
    <t>XAGC210392</t>
  </si>
  <si>
    <t>FM05-02210</t>
  </si>
  <si>
    <t>XAGC249256</t>
  </si>
  <si>
    <t>FM05-02211</t>
  </si>
  <si>
    <t>XAGC175878</t>
  </si>
  <si>
    <t>FM05-02212</t>
  </si>
  <si>
    <t>XAGC175865</t>
  </si>
  <si>
    <t>FM05-02213</t>
  </si>
  <si>
    <t>XAGC175870</t>
  </si>
  <si>
    <t>FM05-02214</t>
  </si>
  <si>
    <t>XAGC175869</t>
  </si>
  <si>
    <t>FM05-02215</t>
  </si>
  <si>
    <t>XAGC210383</t>
  </si>
  <si>
    <t>FM05-02216</t>
  </si>
  <si>
    <t>XAGC175874</t>
  </si>
  <si>
    <t>FM05-02217</t>
  </si>
  <si>
    <t>XAGC175886</t>
  </si>
  <si>
    <t>FM05-02218</t>
  </si>
  <si>
    <t>XAGC209890</t>
  </si>
  <si>
    <t>FM05-02219</t>
  </si>
  <si>
    <t>XAGC175873</t>
  </si>
  <si>
    <t>FM05-02220</t>
  </si>
  <si>
    <t>XAGC175893</t>
  </si>
  <si>
    <t>FM05-02221</t>
  </si>
  <si>
    <t>XAGC175875</t>
  </si>
  <si>
    <t>FM05-02222</t>
  </si>
  <si>
    <t>XAGC175857</t>
  </si>
  <si>
    <t>FM05-02223</t>
  </si>
  <si>
    <t>XAGC210367</t>
  </si>
  <si>
    <t>FM05-02224</t>
  </si>
  <si>
    <t>XAGC175900</t>
  </si>
  <si>
    <t>FM05-02225</t>
  </si>
  <si>
    <t>XAGC175849</t>
  </si>
  <si>
    <t>FM05-02176</t>
  </si>
  <si>
    <t>XAGC175885</t>
  </si>
  <si>
    <t>FM05-02177</t>
  </si>
  <si>
    <t>XAGC210400</t>
  </si>
  <si>
    <t>FM05-02178</t>
  </si>
  <si>
    <t>XAGC175858</t>
  </si>
  <si>
    <t>FM05-02179</t>
  </si>
  <si>
    <t>XAGC175866</t>
  </si>
  <si>
    <t>FM05-02180</t>
  </si>
  <si>
    <t>XAGC175877</t>
  </si>
  <si>
    <t>FM05-02191</t>
  </si>
  <si>
    <t xml:space="preserve">Monitor Flat Dell </t>
  </si>
  <si>
    <t>J0KMWN3</t>
  </si>
  <si>
    <t>FM05-02192</t>
  </si>
  <si>
    <t>94QCFH3</t>
  </si>
  <si>
    <t>FM05-02193</t>
  </si>
  <si>
    <t>F8GF7H3</t>
  </si>
  <si>
    <t>FM05-02194</t>
  </si>
  <si>
    <t>HQPCFH3</t>
  </si>
  <si>
    <t>FM05-02195</t>
  </si>
  <si>
    <t>Scanner Fujitsu Scan Snap IX1600</t>
  </si>
  <si>
    <t>CC1H144098</t>
  </si>
  <si>
    <t>FM05-02196</t>
  </si>
  <si>
    <t>Scanner Fujitsu Scan Snap IX1601</t>
  </si>
  <si>
    <t>CC1H143955</t>
  </si>
  <si>
    <t>FM05-02197</t>
  </si>
  <si>
    <t>Scanner Fujitsu Scan Snap IX1602</t>
  </si>
  <si>
    <t>CC1H144294</t>
  </si>
  <si>
    <t>FM05-02198</t>
  </si>
  <si>
    <t>Scanner Fujitsu Scan Snap IX1603</t>
  </si>
  <si>
    <t>CC1H144133</t>
  </si>
  <si>
    <t>FM05-02266</t>
  </si>
  <si>
    <t>Computadora de Escritorio Dell Optiplex 3000 Tower  Modelo D32M</t>
  </si>
  <si>
    <t>D7NSFT3</t>
  </si>
  <si>
    <t>FM05-02267</t>
  </si>
  <si>
    <t>88NSFT3</t>
  </si>
  <si>
    <t>FM05-02268</t>
  </si>
  <si>
    <t>FM05-02269</t>
  </si>
  <si>
    <t>18NSFT4</t>
  </si>
  <si>
    <t>FM05-02270</t>
  </si>
  <si>
    <t>G8NSFT3</t>
  </si>
  <si>
    <t>FM05-02271</t>
  </si>
  <si>
    <t>58NSFT3</t>
  </si>
  <si>
    <t>FM05-02272</t>
  </si>
  <si>
    <t>78NSFT3</t>
  </si>
  <si>
    <t>FM05-02273</t>
  </si>
  <si>
    <t>39NSFT3</t>
  </si>
  <si>
    <t>FM05-02274</t>
  </si>
  <si>
    <t>48NSFT3</t>
  </si>
  <si>
    <t>FM05-02275</t>
  </si>
  <si>
    <t>H7NSFT3</t>
  </si>
  <si>
    <t>FM05-02276</t>
  </si>
  <si>
    <t>B8NSFT3</t>
  </si>
  <si>
    <t>FM05-02277</t>
  </si>
  <si>
    <t>38NSFT3</t>
  </si>
  <si>
    <t>FM05-02278</t>
  </si>
  <si>
    <t>67NSFT3</t>
  </si>
  <si>
    <t>FM05-02279</t>
  </si>
  <si>
    <t>29NSFT3</t>
  </si>
  <si>
    <t>FM05-02280</t>
  </si>
  <si>
    <t>C8NSFT3</t>
  </si>
  <si>
    <t>FM05-02281</t>
  </si>
  <si>
    <t>J7NSFT3</t>
  </si>
  <si>
    <t>FM05-02282</t>
  </si>
  <si>
    <t>68NSFT3</t>
  </si>
  <si>
    <t>FM05-02283</t>
  </si>
  <si>
    <t>B7NSFT3</t>
  </si>
  <si>
    <t>FM05-02284</t>
  </si>
  <si>
    <t>98NSFT3</t>
  </si>
  <si>
    <t>FM05-02285</t>
  </si>
  <si>
    <t>H8NSFT3</t>
  </si>
  <si>
    <t>FM05-02286</t>
  </si>
  <si>
    <t>28NSFT3</t>
  </si>
  <si>
    <t>FM05-02287</t>
  </si>
  <si>
    <t>C7NSFT3</t>
  </si>
  <si>
    <t>FM05-02288</t>
  </si>
  <si>
    <t>87NSFT3</t>
  </si>
  <si>
    <t>FM05-02289</t>
  </si>
  <si>
    <t>F7NSFT3</t>
  </si>
  <si>
    <t>FM05-02290</t>
  </si>
  <si>
    <t>97NSFT3</t>
  </si>
  <si>
    <t>FM05-02291</t>
  </si>
  <si>
    <t>19NSFT3</t>
  </si>
  <si>
    <t>FM05-02292</t>
  </si>
  <si>
    <t>77NSFT3</t>
  </si>
  <si>
    <t>FM05-02293</t>
  </si>
  <si>
    <t>F8NSFT3</t>
  </si>
  <si>
    <t>FM05-02294</t>
  </si>
  <si>
    <t>J8NSFT3</t>
  </si>
  <si>
    <t>FM05-02295</t>
  </si>
  <si>
    <t>G7NSFT3</t>
  </si>
  <si>
    <t>Total Adquiridos en RD$ y US$=====&gt;</t>
  </si>
  <si>
    <t>RESUMEN</t>
  </si>
  <si>
    <t>Costo de Adq.  En RD$</t>
  </si>
  <si>
    <t>Costo de Adq.  En US$</t>
  </si>
  <si>
    <t>Total Año 2005</t>
  </si>
  <si>
    <t>Total Año 2006</t>
  </si>
  <si>
    <t>Total Año 2007</t>
  </si>
  <si>
    <t>Total Año 2008</t>
  </si>
  <si>
    <t>Total Año 2009</t>
  </si>
  <si>
    <t>Total Año 2010</t>
  </si>
  <si>
    <t>Total Año 2011</t>
  </si>
  <si>
    <t>Total Año 2012</t>
  </si>
  <si>
    <t>Total Año 2013</t>
  </si>
  <si>
    <t xml:space="preserve">Direccion General de Bienes Nacionales </t>
  </si>
  <si>
    <t>Total Año 2014</t>
  </si>
  <si>
    <t>Total Año 2015</t>
  </si>
  <si>
    <t>Total Año 2016</t>
  </si>
  <si>
    <t>-</t>
  </si>
  <si>
    <t>y luego del seguimiento de la unidad de activos fijos fueron recuperados, son  bienes  del año 2018.</t>
  </si>
  <si>
    <t>Total Año 2017</t>
  </si>
  <si>
    <t>Total Año 2018</t>
  </si>
  <si>
    <t>Total Año 2019</t>
  </si>
  <si>
    <t>Total Año 2020</t>
  </si>
  <si>
    <t>Total año 2021</t>
  </si>
  <si>
    <t>Total año 2022</t>
  </si>
  <si>
    <t>Totales</t>
  </si>
  <si>
    <t>Preparado Por:</t>
  </si>
  <si>
    <t>Revisado Por:</t>
  </si>
  <si>
    <t>Auditado Por:</t>
  </si>
  <si>
    <t>_____________________________________</t>
  </si>
  <si>
    <t xml:space="preserve"> _________________________________</t>
  </si>
  <si>
    <t>____________________________________</t>
  </si>
  <si>
    <t>___________________________</t>
  </si>
  <si>
    <t>Wanda Y. Medina G.</t>
  </si>
  <si>
    <t>Licda. Miriam Baez de Suero</t>
  </si>
  <si>
    <t xml:space="preserve">Lic. Gumercindo Cuevas </t>
  </si>
  <si>
    <t xml:space="preserve">Tecnico de Controles de Bienes </t>
  </si>
  <si>
    <t>Encargada Dep. Administrativo- Financiero</t>
  </si>
  <si>
    <t>Coordinador. Controles Internos</t>
  </si>
  <si>
    <t>Técnico Controles Internos</t>
  </si>
  <si>
    <t xml:space="preserve">        CONSEJO NACIONAL PARA EL VIH Y EL SIDA</t>
  </si>
  <si>
    <t xml:space="preserve">        INVENTARIODE EQUIPOS Y MOBILIARIOS DE OFICINA - CENTRO DE CONTROL DE ENFERMEDADES - CDC</t>
  </si>
  <si>
    <t>Doc. Adquis.</t>
  </si>
  <si>
    <t>UBICACIÓN</t>
  </si>
  <si>
    <t xml:space="preserve">INSTITUCIONES </t>
  </si>
  <si>
    <t>Equivalente  Dolares</t>
  </si>
  <si>
    <t>Valor Depreciación (en meses)</t>
  </si>
  <si>
    <t>Ck. 10</t>
  </si>
  <si>
    <t>CDC-02-01174</t>
  </si>
  <si>
    <t>Impresora HP LaserJet P2035.           Incluye: Cable USB 2.0</t>
  </si>
  <si>
    <t>VNB3B17987</t>
  </si>
  <si>
    <t xml:space="preserve">Maura Gricelda Javier Contreras   </t>
  </si>
  <si>
    <t>DPS - MONTE PLATA</t>
  </si>
  <si>
    <t>CDC-02-01175</t>
  </si>
  <si>
    <t>VNB3B17763</t>
  </si>
  <si>
    <t>Pedro Mauricio Martínez Ogando</t>
  </si>
  <si>
    <t>DPS - SAN JUAN DE LA MAGUANA</t>
  </si>
  <si>
    <t>CDC-02-01176</t>
  </si>
  <si>
    <t>VNB3G55459</t>
  </si>
  <si>
    <t xml:space="preserve">Nelson Rafael González González  </t>
  </si>
  <si>
    <t>DPS - AZUA</t>
  </si>
  <si>
    <t>CDC-02-01177</t>
  </si>
  <si>
    <t>VNB3D18508</t>
  </si>
  <si>
    <t>Carmen Damarys Restituyo Gómez</t>
  </si>
  <si>
    <t>DPS - LA VEGA</t>
  </si>
  <si>
    <t>CDC-02-01179</t>
  </si>
  <si>
    <t>UPS Omega 600VA con Regulador</t>
  </si>
  <si>
    <t>CDC-02-01180</t>
  </si>
  <si>
    <t>CDC-02-01181</t>
  </si>
  <si>
    <t>CDC-02-01182</t>
  </si>
  <si>
    <t>CDC-02-01184</t>
  </si>
  <si>
    <t>Disco Duro Externo Samsung 320GB 2.5 M2 USB - BLACK</t>
  </si>
  <si>
    <t>E2DMJJ0B900110</t>
  </si>
  <si>
    <t>Juan Carlos De los Santos</t>
  </si>
  <si>
    <t>CDC-02-01185</t>
  </si>
  <si>
    <t>E2DMJJ0B908114</t>
  </si>
  <si>
    <t>Hermes Meccarielo</t>
  </si>
  <si>
    <t>CDC-02-01186</t>
  </si>
  <si>
    <t>E2DMJJ0B903754</t>
  </si>
  <si>
    <t>Jisela Quiterio</t>
  </si>
  <si>
    <t>CDC-02-01187</t>
  </si>
  <si>
    <t>Disco Duro Externo Samsung 320GB 2.5 M2 USB - BLUE</t>
  </si>
  <si>
    <t>E26RJQ0B100047</t>
  </si>
  <si>
    <t>Ivelisse Sabbath</t>
  </si>
  <si>
    <t>CDC-02-01215</t>
  </si>
  <si>
    <t>E26RJQ0B100043</t>
  </si>
  <si>
    <t>UTIC</t>
  </si>
  <si>
    <t>CDC-01-05148</t>
  </si>
  <si>
    <t>E26RJQ0B100052</t>
  </si>
  <si>
    <t>Ck. 11</t>
  </si>
  <si>
    <t>Computador (NE) Dell Optiplex 990 MT  Monitor Flat Dell 19” E1912H, Black Tarjeta de Red CNET CWP-906 W-PCI</t>
  </si>
  <si>
    <t xml:space="preserve">CPU: H3F0YR1 / MONITOR: CN-046NYG-64180-213-20TS </t>
  </si>
  <si>
    <t>CPU: H3GZXR1 / MONITOR: CN-046NYG-64180-213-20US</t>
  </si>
  <si>
    <t>CPU: H3HZXR1 / MONITOR: CN-046NYG-64180-213-215S</t>
  </si>
  <si>
    <t>CPU: H3L0YR1 / MONITOR: CN-046NYG-64180-213-218S</t>
  </si>
  <si>
    <t>CDC-01-05154</t>
  </si>
  <si>
    <t>CPU: H3L1YR1 / MONITOR: CN-046NYG-64180-213-21CS</t>
  </si>
  <si>
    <t>Ck. 14</t>
  </si>
  <si>
    <t>CDC-02-01420</t>
  </si>
  <si>
    <t>Proyector Portatil Viewsonic,                 Mod. PJD5223</t>
  </si>
  <si>
    <t>SV115115435</t>
  </si>
  <si>
    <t>CDC-02-01421</t>
  </si>
  <si>
    <t>SV115115460</t>
  </si>
  <si>
    <t xml:space="preserve">Ck. 16 </t>
  </si>
  <si>
    <t>CDC-02-01422</t>
  </si>
  <si>
    <t xml:space="preserve">Laptop Lenovo Thinkpad Edge E520 1143D7U. </t>
  </si>
  <si>
    <t>R9-LAF46</t>
  </si>
  <si>
    <t>CDC-02-01423</t>
  </si>
  <si>
    <t>R9-LAF48</t>
  </si>
  <si>
    <t>CDC-02-01424</t>
  </si>
  <si>
    <t>R9-LAF6E</t>
  </si>
  <si>
    <t>Monitores Financieros  José Santana</t>
  </si>
  <si>
    <t>CDC-02-01426</t>
  </si>
  <si>
    <t>R9-LAF6Y</t>
  </si>
  <si>
    <t>CDC-02-01427</t>
  </si>
  <si>
    <t>R9-LAF62</t>
  </si>
  <si>
    <t>CDC-02-01428</t>
  </si>
  <si>
    <t>R9-LAF7E</t>
  </si>
  <si>
    <t>Rosalba Karina</t>
  </si>
  <si>
    <t>COMUNIDAD DE LESBIANAS INCLUSIVAS DOMINICANAS</t>
  </si>
  <si>
    <t>CDC-02-01429</t>
  </si>
  <si>
    <t>R9-LAF72</t>
  </si>
  <si>
    <t>CDC-02-01430</t>
  </si>
  <si>
    <t>R9-LAF76</t>
  </si>
  <si>
    <t xml:space="preserve">          UTIC                   Tablero de Mando</t>
  </si>
  <si>
    <t>Ck. 16</t>
  </si>
  <si>
    <t>CDC-02-01432</t>
  </si>
  <si>
    <t>Impresora HP Láser Jet ENT 500 COL M551DN</t>
  </si>
  <si>
    <t>CNBCD3818J</t>
  </si>
  <si>
    <t>Gerencia Técnica    Rosa Sanchez</t>
  </si>
  <si>
    <t>CNBCD3818L</t>
  </si>
  <si>
    <t>Quilvio Feliz Ramírez</t>
  </si>
  <si>
    <t>DIR. DES. Y FORT. DE LAS DPS / DDF-DPS</t>
  </si>
  <si>
    <t>Ck. 18</t>
  </si>
  <si>
    <t>CDC-02-01434</t>
  </si>
  <si>
    <t>Laptop HP Mini 110-3830nr.                    Incluye: Office 2010, Norton y Garantía Extendida HP.</t>
  </si>
  <si>
    <t xml:space="preserve">5CD14143RR       </t>
  </si>
  <si>
    <t>SERVICIO REGIONAL DE SALUD METROPOLITANO, D.N.</t>
  </si>
  <si>
    <t>CDC-02-01435</t>
  </si>
  <si>
    <t>5CD14143X3</t>
  </si>
  <si>
    <t>CDC-02-01436</t>
  </si>
  <si>
    <t>5CD14143WP</t>
  </si>
  <si>
    <t>CDC-02-01437</t>
  </si>
  <si>
    <t>5CD14143TC</t>
  </si>
  <si>
    <t>CDC-02-01438</t>
  </si>
  <si>
    <t>5CD14143W7</t>
  </si>
  <si>
    <t>Ck. 23</t>
  </si>
  <si>
    <t>CDC-02-01439</t>
  </si>
  <si>
    <t>Armario en Metal Vertical 16 x 36 x 72" Color Crema</t>
  </si>
  <si>
    <t>CDC-02-01440</t>
  </si>
  <si>
    <t>Mesa Auxiliar 39 x 18" Mod. LQ-103 Color Haya, Tres Gaveta y Llavin</t>
  </si>
  <si>
    <t xml:space="preserve">        CIPESA             Patricia Diaz</t>
  </si>
  <si>
    <t>CDC-01-04983</t>
  </si>
  <si>
    <t>Trituradora de Papel GBC, Mod. Stylet, Color Crema</t>
  </si>
  <si>
    <t>0112100459</t>
  </si>
  <si>
    <t xml:space="preserve">Direccion Ejecutiva   </t>
  </si>
  <si>
    <t>CDC-01-04984</t>
  </si>
  <si>
    <t>0112100031</t>
  </si>
  <si>
    <t>Departamento de Adquisiciones</t>
  </si>
  <si>
    <t>Ck. 256</t>
  </si>
  <si>
    <t>CDC-01-05137</t>
  </si>
  <si>
    <t>Fotocopiadora Multifuncional MPF Toshiba e-Studio 2505F 25ppm. Incluye: Toner Black.</t>
  </si>
  <si>
    <t>CCG3311660</t>
  </si>
  <si>
    <t>DISTOSA</t>
  </si>
  <si>
    <t>Ck. 260</t>
  </si>
  <si>
    <t>CDC-01-01538</t>
  </si>
  <si>
    <t>Sillon Ejecutivo en Piel, Color Negro, con Espaldar en Malla, Sistema Giratorio y Brazos</t>
  </si>
  <si>
    <t>Almacén San cristobal</t>
  </si>
  <si>
    <t>LEON G, S.R.L.</t>
  </si>
  <si>
    <t>CDC-01-01539</t>
  </si>
  <si>
    <t>CDC-01-01542</t>
  </si>
  <si>
    <t>Correspondencia</t>
  </si>
  <si>
    <t>CDC-01-01543</t>
  </si>
  <si>
    <t>CDC-01-01544</t>
  </si>
  <si>
    <t>Ck. 289</t>
  </si>
  <si>
    <t>CDC-02-01451</t>
  </si>
  <si>
    <t>Servidor Dell Power Edge R720             Incluye: Licencia de los Software</t>
  </si>
  <si>
    <t>2HS6CZ1</t>
  </si>
  <si>
    <t xml:space="preserve">       UTIC                         Cuarto de Servidores  </t>
  </si>
  <si>
    <t>Ck. 297</t>
  </si>
  <si>
    <t>Inversor AL PII 1.5KW 120VA 12VDC y Cuatro Baterías Trojan Roja T105 6VDC.  Incluye: Kit de Materiales de Instalación</t>
  </si>
  <si>
    <t>A33181</t>
  </si>
  <si>
    <t>Freddy Emilio Ferrera Bautista</t>
  </si>
  <si>
    <t>DPS - BONAO</t>
  </si>
  <si>
    <t>SUENNA ELECTRONICA</t>
  </si>
  <si>
    <t>Ck. 300</t>
  </si>
  <si>
    <t>CDC-02-01471</t>
  </si>
  <si>
    <t>Impresora Copiadora Multifuncional Toshiba e-Studio 206L</t>
  </si>
  <si>
    <t>C2CC23337</t>
  </si>
  <si>
    <t>Ck. 311</t>
  </si>
  <si>
    <t>CDC-02-05150</t>
  </si>
  <si>
    <t>Cámara Digital Sony Cyber Shot DSC W730 16.1 mp</t>
  </si>
  <si>
    <t>S011042278A</t>
  </si>
  <si>
    <t>Olfa Elizabeth De León</t>
  </si>
  <si>
    <t>DPS - SAN CRISTOBAL</t>
  </si>
  <si>
    <t>COMPU-OFFICE DOMINICANA, S.R.L.</t>
  </si>
  <si>
    <t>CDC-01-05151</t>
  </si>
  <si>
    <t xml:space="preserve"> S011042279B</t>
  </si>
  <si>
    <t>Jose Francisco Ramón Ortiz Martinez</t>
  </si>
  <si>
    <t>DPS - COTUI</t>
  </si>
  <si>
    <t>CDC-01-05152</t>
  </si>
  <si>
    <t>S011025676D</t>
  </si>
  <si>
    <t>CDC-01-05153</t>
  </si>
  <si>
    <t>S0110256808</t>
  </si>
  <si>
    <t>Teresa Maria Rojas Guzman</t>
  </si>
  <si>
    <t>S011025677E</t>
  </si>
  <si>
    <t>Magdalena González Ortiz</t>
  </si>
  <si>
    <t>Ck. 315</t>
  </si>
  <si>
    <t>Proyector Epson PowerLite S12+ 2800 ANSI LUMER. Incluye Bulto</t>
  </si>
  <si>
    <t>PSPK3604007</t>
  </si>
  <si>
    <t>Arelis Cayetano Romano</t>
  </si>
  <si>
    <t>DAS - AREA VII              HERRERA / STO. DGO.</t>
  </si>
  <si>
    <t>PSPK3604013</t>
  </si>
  <si>
    <t>PSPK3604014</t>
  </si>
  <si>
    <t>Francis Duval De la Rosa</t>
  </si>
  <si>
    <t>PSPK3603911</t>
  </si>
  <si>
    <t>PSPK3603921</t>
  </si>
  <si>
    <t>CDC-02-01425</t>
  </si>
  <si>
    <t>PSPK3603930</t>
  </si>
  <si>
    <t>UPS OMEGA 650VA con Regulador de Voltaje</t>
  </si>
  <si>
    <t>111309303845</t>
  </si>
  <si>
    <t>111309303846</t>
  </si>
  <si>
    <t>Luisa Carolina Gonzalez</t>
  </si>
  <si>
    <t>DPS - SAN JOSE OCOA</t>
  </si>
  <si>
    <t>111309303847</t>
  </si>
  <si>
    <t>Francisco Alejandro Feliz</t>
  </si>
  <si>
    <t>DPS - ELIAS PIÑA</t>
  </si>
  <si>
    <t>111309303848</t>
  </si>
  <si>
    <t>111309303849</t>
  </si>
  <si>
    <t>CDC-02-01431</t>
  </si>
  <si>
    <t>111309303850</t>
  </si>
  <si>
    <t>111309303852</t>
  </si>
  <si>
    <t>CDC-02-01433</t>
  </si>
  <si>
    <t>111309303989</t>
  </si>
  <si>
    <t>111309303990</t>
  </si>
  <si>
    <t>111309303991</t>
  </si>
  <si>
    <t>111309303992</t>
  </si>
  <si>
    <t>Memoria 32GB USB 2.0 Kingston</t>
  </si>
  <si>
    <t>CDC-02-01441</t>
  </si>
  <si>
    <t>Ck. 320</t>
  </si>
  <si>
    <t>CDC-02-01442</t>
  </si>
  <si>
    <t>Impresora HP LaserJet Mono P1606DN</t>
  </si>
  <si>
    <t>VND3F33198</t>
  </si>
  <si>
    <t>FL BETANCES Y ASOCIADOS, SRL</t>
  </si>
  <si>
    <t>CDC-02-01443</t>
  </si>
  <si>
    <t>VND3F33200</t>
  </si>
  <si>
    <t>Leónidas Altagracia Santana Santana</t>
  </si>
  <si>
    <t>DPS - PERAVIA BANI</t>
  </si>
  <si>
    <t>CDC-02-01444</t>
  </si>
  <si>
    <t>VND3F33201</t>
  </si>
  <si>
    <t>CDC-02-01445</t>
  </si>
  <si>
    <t>VND3F33202</t>
  </si>
  <si>
    <t>CDC-02-01446</t>
  </si>
  <si>
    <t>VND3F33203</t>
  </si>
  <si>
    <t>CDC-02-01447</t>
  </si>
  <si>
    <t>VND3F33204</t>
  </si>
  <si>
    <t>CDC-02-01448</t>
  </si>
  <si>
    <t>VND3F34030</t>
  </si>
  <si>
    <t>CDC-02-01449</t>
  </si>
  <si>
    <t>VND3F34035</t>
  </si>
  <si>
    <t>CDC-02-01450</t>
  </si>
  <si>
    <t>VND3F34036</t>
  </si>
  <si>
    <t>VND3F34037</t>
  </si>
  <si>
    <t>Ck. 340</t>
  </si>
  <si>
    <t>CDC-02-01470</t>
  </si>
  <si>
    <t>Pantalla de Proyección Klipx 120" Tripode</t>
  </si>
  <si>
    <t>Mod. AC120KLX08</t>
  </si>
  <si>
    <t>CDC-02-01472</t>
  </si>
  <si>
    <t>CDC-02-01474</t>
  </si>
  <si>
    <t>CDC-02-01475</t>
  </si>
  <si>
    <t>CDC-02-01476</t>
  </si>
  <si>
    <t>Ck. 347</t>
  </si>
  <si>
    <t>CDC-02-01452</t>
  </si>
  <si>
    <t>Computador HP Pro-3500 Microtower. Incluye: Monitor HP LV1911 LED 18.5"</t>
  </si>
  <si>
    <t>CPU: MXL40417KZ / MONITOR: 6CM34525PZ</t>
  </si>
  <si>
    <t>NOVALOGIQ</t>
  </si>
  <si>
    <t>CDC-02-01453</t>
  </si>
  <si>
    <t>CPU: MXL40417L6 / MONITOR: 6CM34527MO</t>
  </si>
  <si>
    <t>CDC-02-01454</t>
  </si>
  <si>
    <t>CPU: MXL40417LJ / MONITOR: 6CM34525Q3</t>
  </si>
  <si>
    <t>CDC-02-01455</t>
  </si>
  <si>
    <t>CPU: MXL40417L7 / MONITOR: 6CM34527M4</t>
  </si>
  <si>
    <t>CDC-02-01456</t>
  </si>
  <si>
    <t>CPU: MXL40417L0 / MONITOR: 6CM34525QG</t>
  </si>
  <si>
    <t>CDC-02-01457</t>
  </si>
  <si>
    <t>CPU: MXL40417L8 / MONITOR: 6CM34527M5</t>
  </si>
  <si>
    <t>CDC-02-01458</t>
  </si>
  <si>
    <t>CPU: MXL40417L2 / MONITOR: 6CM34525QF</t>
  </si>
  <si>
    <t>CDC-02-01459</t>
  </si>
  <si>
    <t>CPU: MXL40417LG / MONITOR: 6CM34527LN</t>
  </si>
  <si>
    <t>CDC-02-01460</t>
  </si>
  <si>
    <t>CPU: MXL40417L5 / MONITOR: 6CM34525PX</t>
  </si>
  <si>
    <t>CDC-02-01461</t>
  </si>
  <si>
    <t>CPU: MXL40417LB / MONITOR: 6CM34527LP</t>
  </si>
  <si>
    <t>CDC-02-01462</t>
  </si>
  <si>
    <t>Laptop Hp Pro-Book 440 G1.                   Incluye: Bulto.</t>
  </si>
  <si>
    <t>2CE3420B8H</t>
  </si>
  <si>
    <t>CDC-02-01463</t>
  </si>
  <si>
    <t>2CE3420B47</t>
  </si>
  <si>
    <t>CDC-02-01464</t>
  </si>
  <si>
    <t>2CE3420B3W</t>
  </si>
  <si>
    <t>CDC-02-01465</t>
  </si>
  <si>
    <t>2CE3420B90</t>
  </si>
  <si>
    <t>CDC-02-01466</t>
  </si>
  <si>
    <t>2CE3420B6K</t>
  </si>
  <si>
    <t>CDC-02-01467</t>
  </si>
  <si>
    <t>2CE3420B3H</t>
  </si>
  <si>
    <t>CDC-02-01468</t>
  </si>
  <si>
    <t>2CE3420B87</t>
  </si>
  <si>
    <t>CDC-02-01469</t>
  </si>
  <si>
    <t>2CE3420B6V</t>
  </si>
  <si>
    <t>Fuente_1:</t>
  </si>
  <si>
    <t>Depto. Financiero - CONAVIHSIDA</t>
  </si>
  <si>
    <t>Fuente_2:</t>
  </si>
  <si>
    <t>Sub-Beneficiarios.</t>
  </si>
  <si>
    <t>Fuente_3:</t>
  </si>
  <si>
    <t>Direcciones Provinciales de Salud.</t>
  </si>
  <si>
    <r>
      <rPr>
        <b/>
        <sz val="11"/>
        <color indexed="10"/>
        <rFont val="Arial"/>
        <family val="2"/>
      </rPr>
      <t xml:space="preserve">  Nota_2:</t>
    </r>
    <r>
      <rPr>
        <b/>
        <sz val="10"/>
        <color indexed="18"/>
        <rFont val="Arial"/>
        <family val="2"/>
      </rPr>
      <t xml:space="preserve"> En los Años del 2015 al 2022 no hubo compra de activos.</t>
    </r>
  </si>
  <si>
    <t>Total Año 2021</t>
  </si>
  <si>
    <t>Total Año 2022</t>
  </si>
  <si>
    <t>________________________________________</t>
  </si>
  <si>
    <t xml:space="preserve">Licda. Miriam Baez de Suero </t>
  </si>
  <si>
    <t>Coordinador Controles Internos</t>
  </si>
  <si>
    <t xml:space="preserve">         CONSEJO NACIONAL PARA EL VIH Y EL SIDA</t>
  </si>
  <si>
    <t xml:space="preserve">         INVENTARIO GENERAL DE EQUIPOS Y MOBILIARIOS DE OFICINA - SUBVENCION DEL GOBIERNO DOMINICANO</t>
  </si>
  <si>
    <t>Lib. 700-1 Subvención</t>
  </si>
  <si>
    <t>GOB-01-05311</t>
  </si>
  <si>
    <t>Sillon Ejecutivo en Tela Color Azul, Mod. LM-329</t>
  </si>
  <si>
    <t>Gestión Servicio de Salud                               Iris Garcias</t>
  </si>
  <si>
    <t>LIMCOBA, SRL.</t>
  </si>
  <si>
    <t>GOB-01-05312</t>
  </si>
  <si>
    <t>Butaca de Visita en Tela Color Azul, Mod. LM-247</t>
  </si>
  <si>
    <t>Gestión Humana        Miguel Ruiz</t>
  </si>
  <si>
    <t>GOB-01-05313</t>
  </si>
  <si>
    <t>GOB-01-05314</t>
  </si>
  <si>
    <t>Armario Metalico de 2 Puertas, Mod. LM-AM72</t>
  </si>
  <si>
    <t xml:space="preserve">  Central Telefónica   UTIC</t>
  </si>
  <si>
    <t>GOB-01-05315</t>
  </si>
  <si>
    <t>GOB-01-05316</t>
  </si>
  <si>
    <t>Silla Cajero en Tela Color Azul con Brazos Mod. LM-588</t>
  </si>
  <si>
    <t>GOB-01-05318</t>
  </si>
  <si>
    <t>Sillon Semi-Ejecutivo en Tela Color Negro, Mod. LM-AZ02</t>
  </si>
  <si>
    <t xml:space="preserve"> Herme Macarielo Comunicaciones</t>
  </si>
  <si>
    <t>GOB-01-05319</t>
  </si>
  <si>
    <t xml:space="preserve">   Planificación</t>
  </si>
  <si>
    <t>GOB-01-05320</t>
  </si>
  <si>
    <t xml:space="preserve"> Comunicaciones</t>
  </si>
  <si>
    <t>GOB-01-05321</t>
  </si>
  <si>
    <t xml:space="preserve">Correspondencia / Eugenia Rosario </t>
  </si>
  <si>
    <t>GOB-01-05322</t>
  </si>
  <si>
    <t xml:space="preserve">Almacen en san cristobal </t>
  </si>
  <si>
    <t>GOB-01-05323</t>
  </si>
  <si>
    <t xml:space="preserve">Maritza Piña   </t>
  </si>
  <si>
    <t>DIVERSIDAD DOMINICANA</t>
  </si>
  <si>
    <t>Lib. 713-1 Subvención</t>
  </si>
  <si>
    <t>GOB-02-01517</t>
  </si>
  <si>
    <t>Mini Laptop Acer Aspire E11</t>
  </si>
  <si>
    <t xml:space="preserve">NXMQVAA002431085747600    </t>
  </si>
  <si>
    <t>DIRECCION NAC. DE EMERGENCIAS Y DESASTRES</t>
  </si>
  <si>
    <t>Lib. 94-1 Subvención</t>
  </si>
  <si>
    <t>GOB-02-01529</t>
  </si>
  <si>
    <t>Impresora Multifuncional Toshiba e-Estudio 477s</t>
  </si>
  <si>
    <t>TQFE14534</t>
  </si>
  <si>
    <t>Unidad de Adquisiciones</t>
  </si>
  <si>
    <t>SOLUCIONES TECNOLOGICAS EMPRESARIALES, SRL.</t>
  </si>
  <si>
    <t>GOB-02-01530</t>
  </si>
  <si>
    <t>TQFE14513</t>
  </si>
  <si>
    <t>Pasillo 1er. Nivel Frente a la Cocina</t>
  </si>
  <si>
    <t>Lib. 111-1 Subvención</t>
  </si>
  <si>
    <t>GOB-02-01532</t>
  </si>
  <si>
    <t>UPS APC Smart-UPS RT 6000VA,           Modelo: SURTD6000RMXLP3U.</t>
  </si>
  <si>
    <t>QS1510271233</t>
  </si>
  <si>
    <t>Unidad de Tecnología Cuarto Servidores</t>
  </si>
  <si>
    <t>ASYCTEC, SRL.</t>
  </si>
  <si>
    <t>Lib. 202-1  Subvención</t>
  </si>
  <si>
    <t>GOB-02-01533</t>
  </si>
  <si>
    <t>Laptop Dell Latitude E550</t>
  </si>
  <si>
    <t>1X7PP12</t>
  </si>
  <si>
    <t>Gerencia Técnica       Yadira Medina</t>
  </si>
  <si>
    <t>OFFITEK, SRL.</t>
  </si>
  <si>
    <t>GOB-02-01534</t>
  </si>
  <si>
    <t>Laptop Dell Latitude E5550</t>
  </si>
  <si>
    <t>8YCPN32</t>
  </si>
  <si>
    <t>Coordinacioón Financiera           Welinton Mora</t>
  </si>
  <si>
    <t>GOB-02-01535</t>
  </si>
  <si>
    <t>HR1BL32</t>
  </si>
  <si>
    <t>GOB-02-01536</t>
  </si>
  <si>
    <t>Laptop: JV3XP12       Monitor: 4VCBKV2</t>
  </si>
  <si>
    <t>Coordinadora Administractiva        Miriam J.Baez</t>
  </si>
  <si>
    <t>GOB-02-01537</t>
  </si>
  <si>
    <t>CMWDN32</t>
  </si>
  <si>
    <t xml:space="preserve">Ante Despacho Dirección Ejecutiva     </t>
  </si>
  <si>
    <t>GOB-02-01538</t>
  </si>
  <si>
    <t>GN79L32</t>
  </si>
  <si>
    <t>Planificación y Desarrollo           Noemi Encarnación</t>
  </si>
  <si>
    <t>GOB-02-01539</t>
  </si>
  <si>
    <t>BJMPN32</t>
  </si>
  <si>
    <t>Controles Internos     Yoel Mieses</t>
  </si>
  <si>
    <t>GOB-02-01540</t>
  </si>
  <si>
    <t>1SJPN32</t>
  </si>
  <si>
    <t xml:space="preserve">Gerencia Técnica      </t>
  </si>
  <si>
    <t>Lib. 853-1  Subvención</t>
  </si>
  <si>
    <t>GOB-02-01541</t>
  </si>
  <si>
    <t>Impresora Multifuncional HP Laser Jet M521 DN</t>
  </si>
  <si>
    <t>CNB7J7G4SB</t>
  </si>
  <si>
    <t>FL BETANCES &amp; ASOCIADOS, SRL.</t>
  </si>
  <si>
    <t>GOB-01-05325</t>
  </si>
  <si>
    <t>Calculadora Sumadora Sharp EL2630PIII de 12 Digitos</t>
  </si>
  <si>
    <t>6D026355</t>
  </si>
  <si>
    <t>GOB-01-05326</t>
  </si>
  <si>
    <t xml:space="preserve">Trituradora Power SHRED H-7C de Corte Cruzado de 7 Hojas </t>
  </si>
  <si>
    <t>H7C160715QA0099303</t>
  </si>
  <si>
    <t>GOB-01-05327</t>
  </si>
  <si>
    <t>H7C160715QA0099304</t>
  </si>
  <si>
    <t>GOB-01-05328</t>
  </si>
  <si>
    <t>H7C160715QA0099358</t>
  </si>
  <si>
    <t>Controles Internos</t>
  </si>
  <si>
    <t>Lib. No.138-1</t>
  </si>
  <si>
    <t>GOB-02-01583</t>
  </si>
  <si>
    <t xml:space="preserve">Impresora Multifuncional HP LaserJet M521DN Pro 500  </t>
  </si>
  <si>
    <t>CNB7J59FZF</t>
  </si>
  <si>
    <t>Ante Despacho Dirección Ejecutiva     Gisela Garcia</t>
  </si>
  <si>
    <t>FL BETANCES &amp; ASOCIADOS, S.R.L.</t>
  </si>
  <si>
    <t>Lib. No.183-1</t>
  </si>
  <si>
    <t>GOB-02-01584</t>
  </si>
  <si>
    <t>Software Microsoft Visio Estándar 2016</t>
  </si>
  <si>
    <t>GOB-02-01585</t>
  </si>
  <si>
    <t>Disco Duro Interno de 1 TB Seagate Sata</t>
  </si>
  <si>
    <t>GOB-02-01586</t>
  </si>
  <si>
    <t>Monitor Plano AOC 24" LCD/LED 1080P</t>
  </si>
  <si>
    <t>F55GBBA000493</t>
  </si>
  <si>
    <t>Unidad de Tecnología Vilma Peralta</t>
  </si>
  <si>
    <t xml:space="preserve">     Fuente_2:</t>
  </si>
  <si>
    <r>
      <rPr>
        <b/>
        <sz val="10"/>
        <color indexed="10"/>
        <rFont val="Arial"/>
        <family val="2"/>
      </rPr>
      <t xml:space="preserve">     Nota_1:</t>
    </r>
    <r>
      <rPr>
        <b/>
        <sz val="10"/>
        <color indexed="18"/>
        <rFont val="Arial"/>
        <family val="2"/>
      </rPr>
      <t xml:space="preserve"> Informe de Activos Fijos Acumulado al 31de diciembre, 2022.</t>
    </r>
  </si>
  <si>
    <r>
      <rPr>
        <b/>
        <sz val="10"/>
        <color indexed="10"/>
        <rFont val="Arial"/>
        <family val="2"/>
      </rPr>
      <t xml:space="preserve">     Nota_2:</t>
    </r>
    <r>
      <rPr>
        <b/>
        <sz val="10"/>
        <color indexed="18"/>
        <rFont val="Arial"/>
        <family val="2"/>
      </rPr>
      <t xml:space="preserve"> En los Años, 2018, 2019 , 2020,2021 y 2022 no hubo compra de activos.</t>
    </r>
  </si>
  <si>
    <r>
      <rPr>
        <b/>
        <sz val="11"/>
        <color indexed="10"/>
        <rFont val="Arial"/>
        <family val="2"/>
      </rPr>
      <t xml:space="preserve">   </t>
    </r>
    <r>
      <rPr>
        <b/>
        <sz val="10"/>
        <color indexed="10"/>
        <rFont val="Arial"/>
        <family val="2"/>
      </rPr>
      <t xml:space="preserve"> Nota_3:</t>
    </r>
    <r>
      <rPr>
        <b/>
        <sz val="10"/>
        <color indexed="18"/>
        <rFont val="Arial"/>
        <family val="2"/>
      </rPr>
      <t xml:space="preserve"> Algunos bienes adquiridos en el 2016 y 2017, fueron descargado a la</t>
    </r>
  </si>
  <si>
    <t xml:space="preserve">  Dirección General de Bienes Nacionales.</t>
  </si>
  <si>
    <t>_______________________________________</t>
  </si>
  <si>
    <t xml:space="preserve">Tecnico de Controles de bienes </t>
  </si>
  <si>
    <t xml:space="preserve">         INVENTARIO GENERAL DE EQUIPOS Y MOBILIARIOS DE OFICINA - DONACION DEL GOBIERNO DOMINICANO</t>
  </si>
  <si>
    <t>GOB-01-01378</t>
  </si>
  <si>
    <t>Protectora de Cheques PayMaster de 9 Digitos</t>
  </si>
  <si>
    <t>16443A9</t>
  </si>
  <si>
    <t>GOB-01-01379</t>
  </si>
  <si>
    <t xml:space="preserve">Cuadro Pintura de Mario Davalos    </t>
  </si>
  <si>
    <t>GOB-01-01386</t>
  </si>
  <si>
    <t xml:space="preserve">Porta Saco en Caoba     </t>
  </si>
  <si>
    <t>Pasillo 2do. Nivel</t>
  </si>
  <si>
    <t>GOB-01-01389</t>
  </si>
  <si>
    <t xml:space="preserve">Aire Acondicionado de 5 Toneladas     Marca Conformarker de 60,000 BTU. </t>
  </si>
  <si>
    <t>2202A68510 / 2102E29974</t>
  </si>
  <si>
    <t>GOB-01-01376</t>
  </si>
  <si>
    <t xml:space="preserve">Estante en Pino Tratado de 4 Niveles    </t>
  </si>
  <si>
    <t>GOB-01-01391</t>
  </si>
  <si>
    <t>GOB-01-01813</t>
  </si>
  <si>
    <t xml:space="preserve">Estante en Pino Tratado de 5 Niveles    </t>
  </si>
  <si>
    <t>GOB-01-01393</t>
  </si>
  <si>
    <t xml:space="preserve">Mesa para Telefono en Caoba  </t>
  </si>
  <si>
    <t>GOB-01-01403</t>
  </si>
  <si>
    <t xml:space="preserve">Radio Portatil Philips  </t>
  </si>
  <si>
    <t>KT000229038530</t>
  </si>
  <si>
    <t>Central Telefónica</t>
  </si>
  <si>
    <t>GOB-01-01402</t>
  </si>
  <si>
    <t xml:space="preserve">Armario Vertical de 2 Puertas en Caoba </t>
  </si>
  <si>
    <t>GOB-01-01405</t>
  </si>
  <si>
    <t xml:space="preserve">Archivo Vertical de 3 Gavetas     </t>
  </si>
  <si>
    <t>GOB-03-00016</t>
  </si>
  <si>
    <t xml:space="preserve">Camioneta Nissan Frontier, Blanca, 2005 </t>
  </si>
  <si>
    <t>Chasis:  JN1CJUD22Z0740042   Placa: EL06214</t>
  </si>
  <si>
    <t>Santo Domingo, D.N</t>
  </si>
  <si>
    <t>SERVICIO REGIONAL DE SALUD ENRIQUILLO, REGION IV</t>
  </si>
  <si>
    <t>SANTO DOMINGO MOTORS</t>
  </si>
  <si>
    <t>GOB-03-00017</t>
  </si>
  <si>
    <t>Camioneta Nissan Frontier, Blanca, 2005</t>
  </si>
  <si>
    <t>Chassis: JN1CJUD22Z0740065</t>
  </si>
  <si>
    <t>RED DOMINICANA DE PERSONAS QUE VIVEN CON VIH+ (REDOVIH+)</t>
  </si>
  <si>
    <t>GOB-03-00018</t>
  </si>
  <si>
    <t>Autobus Toyota de 15 Pasajeros, Blanco, Mod. LH202L-REMDE, Año 2006.</t>
  </si>
  <si>
    <t xml:space="preserve">Chasis: JTFJK02P100002470  Placa: EL00562 </t>
  </si>
  <si>
    <t>Jorge Ernesto Méndez Mejía</t>
  </si>
  <si>
    <t>DELTA COMERCIAL, C. X A.</t>
  </si>
  <si>
    <t>GOB-03-00031</t>
  </si>
  <si>
    <t>Jeppeta Ford Explorer XLT 4X2, Azul, 2007  placa: EG00255</t>
  </si>
  <si>
    <t>Chassis: 1FMEU63E07UA60721</t>
  </si>
  <si>
    <t>GRUPO VIAMAR</t>
  </si>
  <si>
    <t>GOB-02-00943</t>
  </si>
  <si>
    <t xml:space="preserve">Impresora Matricial Epson LX-300-II   </t>
  </si>
  <si>
    <t xml:space="preserve">G8DY374693  </t>
  </si>
  <si>
    <t>CECOMSA, S.A.</t>
  </si>
  <si>
    <t>GOB-01-02907</t>
  </si>
  <si>
    <t>Mesa de Centro en Caoba</t>
  </si>
  <si>
    <t>Ante Despacho/Gisela Garcia</t>
  </si>
  <si>
    <t>FLORISTERIA LA PRIMAVERA, C X A.</t>
  </si>
  <si>
    <t>GOB-01-00485</t>
  </si>
  <si>
    <t>Archivo Metalico Vertical de 4 Gaveta, Color Crema</t>
  </si>
  <si>
    <t>28x26x52</t>
  </si>
  <si>
    <t>Consultoría Jurídica</t>
  </si>
  <si>
    <t>ACTUALIDADES VD.</t>
  </si>
  <si>
    <t>Ck. 4206</t>
  </si>
  <si>
    <t>GOB-02-01516</t>
  </si>
  <si>
    <t>A0VB235575</t>
  </si>
  <si>
    <t>Transf. 237</t>
  </si>
  <si>
    <t>MUEBLES OMAR / Leticia Coss</t>
  </si>
  <si>
    <t>GOB-01-05335</t>
  </si>
  <si>
    <t>Escritorio Space con Tope de Cristal Martillado. Dimensión: 28 x 48.</t>
  </si>
  <si>
    <t>GOB-01-05339</t>
  </si>
  <si>
    <t>Gabinete Aéreo en Madera Prensadas</t>
  </si>
  <si>
    <t>IKEA. / Leticia Coss</t>
  </si>
  <si>
    <t>GOB-01-05340</t>
  </si>
  <si>
    <t>GOB-01-05341</t>
  </si>
  <si>
    <t>GOB-01-05342</t>
  </si>
  <si>
    <t>GOB-01-05343</t>
  </si>
  <si>
    <t>GOB-01-05344</t>
  </si>
  <si>
    <t>GOB-01-05345</t>
  </si>
  <si>
    <t>Cuadro de Pared. Dimensión 53 x 53 x 3.8</t>
  </si>
  <si>
    <t>ALMACENES UNIDOS. / Leticia Coss</t>
  </si>
  <si>
    <t>GOB-01-05346</t>
  </si>
  <si>
    <t>Estanteria Aerea en Madera Prensadas. Mod. Kallax</t>
  </si>
  <si>
    <t>GOB-01-05347</t>
  </si>
  <si>
    <t>Armario Mediano en Madera Prenzadas. Para Impresora y Suministro.</t>
  </si>
  <si>
    <t>Ck. 4641</t>
  </si>
  <si>
    <t>GOBDOM-01-05642</t>
  </si>
  <si>
    <t>Taladro Makita MT de 3/8 350W</t>
  </si>
  <si>
    <t>Servicios Generales</t>
  </si>
  <si>
    <t>LA INNOVACION, SRL.</t>
  </si>
  <si>
    <t>Ck.4730</t>
  </si>
  <si>
    <r>
      <t xml:space="preserve">GOBDOM-01-05643(SIAB)  </t>
    </r>
    <r>
      <rPr>
        <b/>
        <sz val="9"/>
        <rFont val="Arial"/>
        <family val="2"/>
      </rPr>
      <t>GOBDOM-02-01817</t>
    </r>
  </si>
  <si>
    <t>MICROHONDA /PANASONI,COLOR : BLANCO</t>
  </si>
  <si>
    <t>PAsillo 2do. Nivel</t>
  </si>
  <si>
    <t>LINCOBA</t>
  </si>
  <si>
    <r>
      <t xml:space="preserve">GOBDOM-01-05644(SIAB) </t>
    </r>
    <r>
      <rPr>
        <b/>
        <sz val="9"/>
        <rFont val="Arial"/>
        <family val="2"/>
      </rPr>
      <t>GOBDOM-02-01818</t>
    </r>
  </si>
  <si>
    <t>Total Año 2001</t>
  </si>
  <si>
    <t>Total Año 2002</t>
  </si>
  <si>
    <t>Total Año 2003</t>
  </si>
  <si>
    <t>Total Año 2004</t>
  </si>
  <si>
    <t>Hospitales y Servicios Regionales.</t>
  </si>
  <si>
    <r>
      <rPr>
        <b/>
        <sz val="10"/>
        <color indexed="10"/>
        <rFont val="Arial"/>
        <family val="2"/>
      </rPr>
      <t xml:space="preserve">         Nota_1:</t>
    </r>
    <r>
      <rPr>
        <b/>
        <sz val="10"/>
        <color indexed="18"/>
        <rFont val="Arial"/>
        <family val="2"/>
      </rPr>
      <t xml:space="preserve"> Informe de Activos Fijos Acumulado al 31 diciembre, 2022.</t>
    </r>
  </si>
  <si>
    <r>
      <rPr>
        <b/>
        <sz val="10"/>
        <color indexed="10"/>
        <rFont val="Arial"/>
        <family val="2"/>
      </rPr>
      <t xml:space="preserve">        Nota_2:</t>
    </r>
    <r>
      <rPr>
        <b/>
        <sz val="10"/>
        <color indexed="18"/>
        <rFont val="Arial"/>
        <family val="2"/>
      </rPr>
      <t xml:space="preserve"> En los Años, 2003, 2004, 2007, 2010, 2011, 2016, 2018 , 2020,2021 y 2022</t>
    </r>
  </si>
  <si>
    <t xml:space="preserve">  No hubo compra de activos.</t>
  </si>
  <si>
    <r>
      <rPr>
        <b/>
        <sz val="10"/>
        <color indexed="10"/>
        <rFont val="Arial"/>
        <family val="2"/>
      </rPr>
      <t xml:space="preserve">        Nota_3:</t>
    </r>
    <r>
      <rPr>
        <b/>
        <sz val="10"/>
        <color indexed="18"/>
        <rFont val="Arial"/>
        <family val="2"/>
      </rPr>
      <t xml:space="preserve"> Los bienes adquiridos en el 2008, fueron descargado a la</t>
    </r>
  </si>
  <si>
    <t xml:space="preserve">          INVENTARIO GENERAL DE EQUIPOS Y MOBILIARIOS DE OFICINA - CONTRAPARTIDA DEL GOBIERNO DOMINICANO</t>
  </si>
  <si>
    <t>Equivalente en Dolares</t>
  </si>
  <si>
    <t>Valor Depreciación         (en meses)</t>
  </si>
  <si>
    <t xml:space="preserve">Lib. 308-1 </t>
  </si>
  <si>
    <t>GOB-02-01518</t>
  </si>
  <si>
    <t>Transformador de UPS APC SMART RT-TOWER ISOLATION/STEP-DOWN. Incluye: Instalación, Conf. y Puestra en Marcha.</t>
  </si>
  <si>
    <t>5S1506T09264</t>
  </si>
  <si>
    <t>Unidad de Tecnología     Cuarto de Equipo</t>
  </si>
  <si>
    <t xml:space="preserve">Lib. 345-1 </t>
  </si>
  <si>
    <t>GOB-02-01519</t>
  </si>
  <si>
    <t>A0VB373434</t>
  </si>
  <si>
    <t xml:space="preserve">Consultoría Jurídica      </t>
  </si>
  <si>
    <t xml:space="preserve">Lib. 349-1 </t>
  </si>
  <si>
    <t>GOB-02-01520</t>
  </si>
  <si>
    <t>Impresora Multifuncional HP Pro400                            M-425DN</t>
  </si>
  <si>
    <t>CNF8H15FD7</t>
  </si>
  <si>
    <t>Depto. De Adquisiciones Damaris Mesa</t>
  </si>
  <si>
    <t>GLOBAL OFFICE JL, SRL</t>
  </si>
  <si>
    <t xml:space="preserve">Lib. 394-1 </t>
  </si>
  <si>
    <t>GOB-01-05296</t>
  </si>
  <si>
    <t>Credenza en Melamina Color Haya, Puertas Corrediza Mod. LM-2000</t>
  </si>
  <si>
    <t xml:space="preserve">Ante-Despacho  Dirección Ejecutiva       </t>
  </si>
  <si>
    <t>GOB-01-05298</t>
  </si>
  <si>
    <t>Escritorio en Madera Enchapada con Mahogany, con Archivo Modular de 3 Gavetas y Lateral, Mod. LM-5518</t>
  </si>
  <si>
    <t xml:space="preserve">Dirección Ejecutiva       Dr. Rafael Enrique Gonzalez </t>
  </si>
  <si>
    <t>Armario Metalico de 2 Puertas, Color Gris, Mod. LM-AM72</t>
  </si>
  <si>
    <t>GOB-01-05300</t>
  </si>
  <si>
    <t xml:space="preserve">Controles Internos        Gumensindo Cuevas </t>
  </si>
  <si>
    <t xml:space="preserve">Lib. 400-1 </t>
  </si>
  <si>
    <t>GOB-04-00112</t>
  </si>
  <si>
    <t>Central Telefónica Starvox Hibrida con Troncal T1. Incluye: Servicio Técnico, Instalación, Configuración y Entrenamientos.</t>
  </si>
  <si>
    <t xml:space="preserve">Servidor: 4CBKWG1  </t>
  </si>
  <si>
    <t>MR NETWORKING, SRL.</t>
  </si>
  <si>
    <t>GOB-04-00113</t>
  </si>
  <si>
    <t>Teléfono Grandstream GXP2130. Cantidad: 18 Unidades</t>
  </si>
  <si>
    <t>GOB-04-00114</t>
  </si>
  <si>
    <t>Teléfono Grandstream GXP1625. Cantidad: 69 Unidades</t>
  </si>
  <si>
    <t xml:space="preserve">Lib. 612-1 </t>
  </si>
  <si>
    <t>GOB-02-01522</t>
  </si>
  <si>
    <t>Switch Cisco SG300-28PP-K9 de 28 Pto.</t>
  </si>
  <si>
    <t>DNI19170A7U</t>
  </si>
  <si>
    <t>Unidad de Tecnología   Cuarto de Servidores</t>
  </si>
  <si>
    <t>GOB-02-01523</t>
  </si>
  <si>
    <t>DNI191709B5</t>
  </si>
  <si>
    <t xml:space="preserve">Lib. 641-1 </t>
  </si>
  <si>
    <t>GOB-02-01521</t>
  </si>
  <si>
    <t>Impresora HP LaserJet M604DN Monocromática</t>
  </si>
  <si>
    <t>CNBCH7B0F7</t>
  </si>
  <si>
    <t xml:space="preserve">Gerencia Técnica       Melvin Briosos </t>
  </si>
  <si>
    <t xml:space="preserve">Lib. 645-1 </t>
  </si>
  <si>
    <t>GRUPO TECNOLOGICO ADEXSUS, SRL.</t>
  </si>
  <si>
    <t>GOB-02-01525</t>
  </si>
  <si>
    <t>Equipo Dell SonicWall TZ400 Secure Upgrade Plus 2YR</t>
  </si>
  <si>
    <t>18B1690D7274</t>
  </si>
  <si>
    <t xml:space="preserve">Lib. 693-1 </t>
  </si>
  <si>
    <t>GOB-02-01526</t>
  </si>
  <si>
    <t>Impresora Epson LX-350 Plus Matricial</t>
  </si>
  <si>
    <t>Q75Y101747</t>
  </si>
  <si>
    <t>Coordinación Financiera  Elizauris Casilla</t>
  </si>
  <si>
    <t>FL BETANCES &amp; ASOCIADO, S.A.</t>
  </si>
  <si>
    <t xml:space="preserve">Lib. 795-1 </t>
  </si>
  <si>
    <t>GOB-01-05306</t>
  </si>
  <si>
    <t>Unidad de Tecnología      Vilma Peralta</t>
  </si>
  <si>
    <t>GOB-01-05308</t>
  </si>
  <si>
    <t>Butaca de Visita en Tela Color Negro, Mod. LM-MD</t>
  </si>
  <si>
    <t>GOB-01-05309</t>
  </si>
  <si>
    <t>GOB-01-05310</t>
  </si>
  <si>
    <t>Silla Técnica en Tela Color Negro y Espaldar en Mesh, Mod. LM-STICK.</t>
  </si>
  <si>
    <t xml:space="preserve">Unidad de Población Clave </t>
  </si>
  <si>
    <t>Lib. No.688 Pagado en Junio, 2017</t>
  </si>
  <si>
    <t>GOB-01-05348</t>
  </si>
  <si>
    <t>Bebedero de Botellón Daiwa. Con Botellón Oculto. Color Gris.</t>
  </si>
  <si>
    <t>DW-11750542</t>
  </si>
  <si>
    <t>Depto. De Adquisiciones</t>
  </si>
  <si>
    <t>Lib. No.930</t>
  </si>
  <si>
    <t>GOB-02-01587</t>
  </si>
  <si>
    <t xml:space="preserve">Scanner Fujitsu Scan Snap iX500  </t>
  </si>
  <si>
    <t>AWRHF05548</t>
  </si>
  <si>
    <t>Lib. No.1062</t>
  </si>
  <si>
    <t>GOB-01-05352</t>
  </si>
  <si>
    <t>Cámara Fotográfica NIKON D7200 24.0 Mega Pixeles, Video Full HD 1080P, Conectividad Wifi. LCD 3.2 Pulgadas. Incluye: Bateria Externa, Cargador, Correa de Cuello, Cable USB, Memoria, Bulto. Disco Duro Portatil 2TB.</t>
  </si>
  <si>
    <t>Prensa y Relaciones Pública                           Pedro Canela</t>
  </si>
  <si>
    <t>GOB-01-05353</t>
  </si>
  <si>
    <t xml:space="preserve">Lente Tamron P/Nikon Zoom 18-200mm VR II F3.5-5.6G. </t>
  </si>
  <si>
    <t>Lib. No.1231</t>
  </si>
  <si>
    <t>GOB-02-01597</t>
  </si>
  <si>
    <t>Laptop Lenovo ThinkPad P51                      Incluye: Cargador, Dock Station y Bulto.</t>
  </si>
  <si>
    <t>PF0T6EVS</t>
  </si>
  <si>
    <t>CECOMSA, SRL.</t>
  </si>
  <si>
    <t>GOB-02-01598</t>
  </si>
  <si>
    <t>Laptop Dell Latitude 5580                        Incluye: Cargador, Dock Station y Bulto.</t>
  </si>
  <si>
    <t>FMVYFH2</t>
  </si>
  <si>
    <t>GOB-02-01599</t>
  </si>
  <si>
    <t>4NVYFH2</t>
  </si>
  <si>
    <t>Gerencia Técnica         Generoso Castillo</t>
  </si>
  <si>
    <t>GOB-02-01600</t>
  </si>
  <si>
    <t>CFOZFH2</t>
  </si>
  <si>
    <t>Controles Internos              Carlos Castillo</t>
  </si>
  <si>
    <t>GOB-02-01601</t>
  </si>
  <si>
    <t>9COZFH2</t>
  </si>
  <si>
    <t>Unidad Población Clave                          Magaly Smith</t>
  </si>
  <si>
    <t>GOB-02-01602</t>
  </si>
  <si>
    <t>2H5BGH2</t>
  </si>
  <si>
    <t>Monitores Financieros    Pedro Montás</t>
  </si>
  <si>
    <t>GOB-02-01603</t>
  </si>
  <si>
    <t>Laptop: 1GOZFH2      Monitor: CN-0R16JC-72872-340-F58N</t>
  </si>
  <si>
    <t>Unidad Población Clave                          Ramón Acevedo</t>
  </si>
  <si>
    <t>GOB-02-01604</t>
  </si>
  <si>
    <t>7NVYFH2</t>
  </si>
  <si>
    <t>Coordinación Financiera  Aurora Moquete</t>
  </si>
  <si>
    <t>GOB-02-01605</t>
  </si>
  <si>
    <t>Laptop: BL5BGH2   Monitor: CN-0CC639-72872-643-ERKM</t>
  </si>
  <si>
    <t>GOB-02-01606</t>
  </si>
  <si>
    <t>Laptop: 6H0ZFH2  Monitor: CN-0R16JC-72872-345-AEDM</t>
  </si>
  <si>
    <t>Unidad de Población Clave                   Humberto Lopez</t>
  </si>
  <si>
    <t>GOB-02-01607</t>
  </si>
  <si>
    <t>Laptop. FGVYFH2       Monitor: CQ7RCW2</t>
  </si>
  <si>
    <t>Coordinación Financiera  Ingrid Melo</t>
  </si>
  <si>
    <t>GOB-02-01608</t>
  </si>
  <si>
    <t>Laptop: 3JVYFH2   Monitor: CN-0R16JC-72872-340-F5PM</t>
  </si>
  <si>
    <t xml:space="preserve">Gestion Humana         Miguel ruiz </t>
  </si>
  <si>
    <t>GOB-02-01609</t>
  </si>
  <si>
    <t>4PVYFH2</t>
  </si>
  <si>
    <t xml:space="preserve">Gerencia Técnica           </t>
  </si>
  <si>
    <t>GOB-02-01610</t>
  </si>
  <si>
    <t>Laptop: HKVYFH2   Monitor: 9HJ64X2</t>
  </si>
  <si>
    <t>Planificación y Desarrollo Ramón Astacio</t>
  </si>
  <si>
    <t>GOB-02-01611</t>
  </si>
  <si>
    <t>2MVYFH2</t>
  </si>
  <si>
    <t xml:space="preserve">Consultoria Juridica  portes </t>
  </si>
  <si>
    <t>GOB-02-01612</t>
  </si>
  <si>
    <t>4M5BGH2</t>
  </si>
  <si>
    <t>Gerencia Técnica            Nurys Amador</t>
  </si>
  <si>
    <t>Lib. No.690. Pagado en Junio, 2017</t>
  </si>
  <si>
    <t>GOB-01-05351</t>
  </si>
  <si>
    <t>Abanico de Torre marca Hamilton</t>
  </si>
  <si>
    <t xml:space="preserve">Correspondencia         </t>
  </si>
  <si>
    <t>MUÑOZ CONCEPTO MOBILIARIOS, S.A.</t>
  </si>
  <si>
    <t>Lib. No.1300</t>
  </si>
  <si>
    <t>GOB-01-05354</t>
  </si>
  <si>
    <t>Control de Acceso Facial Biométrico + Controles de Acceso con Tarjeta.                Incluye: Lectora, Baterias, Botones, Software y Mano de Obra.</t>
  </si>
  <si>
    <t>Puntos Estratégicos de la Institución</t>
  </si>
  <si>
    <t>METRO TECNOLOGIA, SRL.</t>
  </si>
  <si>
    <t>Lib. No.1301</t>
  </si>
  <si>
    <t>GOB-01-05355</t>
  </si>
  <si>
    <t>Sistema de Cámara de Vigilancia CCTV-IP Incluye: DVR 32CH 1080P. Disco Sata 2TB, Cámaras 3.6mm, Fuente, Materiales y Mano de Obra.</t>
  </si>
  <si>
    <t>2K01C8DPAMV3R50</t>
  </si>
  <si>
    <t>Lib. No.1544</t>
  </si>
  <si>
    <t>GOB-01-05356</t>
  </si>
  <si>
    <r>
      <t xml:space="preserve">Tarimas Plásticas: Tipo plataforma, resistente, con capacidad de carga estática de 1,500 kg. Dimensión 1x20x1.     </t>
    </r>
    <r>
      <rPr>
        <sz val="10"/>
        <color indexed="10"/>
        <rFont val="Arial"/>
        <family val="2"/>
      </rPr>
      <t>Cantidad: 16 Unidades.</t>
    </r>
  </si>
  <si>
    <t xml:space="preserve">ALMACEN REGIONAL DE
MEDICAMENTOS REGION 0
SANTO DOMINGO
</t>
  </si>
  <si>
    <t>GOB-01-05357</t>
  </si>
  <si>
    <r>
      <t xml:space="preserve">Tarimas Plásticas: Tipo plataforma, resistente, con capacidad de carga estática de 1,500 kg. Dimensión 1x20x1.     </t>
    </r>
    <r>
      <rPr>
        <sz val="10"/>
        <color indexed="10"/>
        <rFont val="Arial"/>
        <family val="2"/>
      </rPr>
      <t>Cantidad: 12 Unidades.</t>
    </r>
  </si>
  <si>
    <t xml:space="preserve">ALMACEN REGIONAL DE 
MEDICAMENTOS REGION II
SANTIAGO
</t>
  </si>
  <si>
    <t>GOB-01-05358</t>
  </si>
  <si>
    <t>San Pedro de Macorís</t>
  </si>
  <si>
    <t>ALMACEN REGIONAL DE 
MEDICAMENTOS REGION IV
SAN P. DE MACORIS</t>
  </si>
  <si>
    <t>GOB-01-05359</t>
  </si>
  <si>
    <t>Vicente Noble</t>
  </si>
  <si>
    <t xml:space="preserve">ALMACEN REGIONAL DE 
MEDICAMENTOS REGION V
BARAHONA
</t>
  </si>
  <si>
    <t>Lib. No.1579</t>
  </si>
  <si>
    <t>GOB-01-05360</t>
  </si>
  <si>
    <r>
      <t xml:space="preserve">Estantes Metálicos de 5 Bandejas con refuerzo de bandeja incluido. Dimensión: 2mts x 0.60cm x 40cm MTS.
</t>
    </r>
    <r>
      <rPr>
        <sz val="10"/>
        <color indexed="10"/>
        <rFont val="Arial"/>
        <family val="2"/>
      </rPr>
      <t>Cantidad: 1 Unidades.</t>
    </r>
  </si>
  <si>
    <t>TRAMERIAS Y SOLUCIONES DE ALMACENAJE T.S.A. S.R.L.</t>
  </si>
  <si>
    <t>GOB-01-05361</t>
  </si>
  <si>
    <r>
      <t xml:space="preserve">Estantes Metálicos de 5 Bandejas con refuerzo de bandeja incluido. Dimensión: 2mts x 0.80cm x 40cm MTS.
</t>
    </r>
    <r>
      <rPr>
        <sz val="10"/>
        <color indexed="10"/>
        <rFont val="Arial"/>
        <family val="2"/>
      </rPr>
      <t>Cantidad: 18 Unidades.</t>
    </r>
  </si>
  <si>
    <t>GOB-01-05362</t>
  </si>
  <si>
    <r>
      <t xml:space="preserve">Estantes Metálicos de 5 Bandejas con refuerzo de bandeja incluido. Dimensión: 2mts x 100cm x 40cm MTS.
</t>
    </r>
    <r>
      <rPr>
        <sz val="10"/>
        <color indexed="10"/>
        <rFont val="Arial"/>
        <family val="2"/>
      </rPr>
      <t>Cantidad: 99 Unidades.</t>
    </r>
  </si>
  <si>
    <t>GOB-01-05363</t>
  </si>
  <si>
    <r>
      <t xml:space="preserve">Estantes Metálicos de 5 Bandejas con refuerzo de bandeja incluido. Dimensión: 2mts x 0.80cm x 40cm MTS.
</t>
    </r>
    <r>
      <rPr>
        <sz val="10"/>
        <color indexed="10"/>
        <rFont val="Arial"/>
        <family val="2"/>
      </rPr>
      <t>Cantidad: 4 Unidades.</t>
    </r>
  </si>
  <si>
    <t>GOB-01-05364</t>
  </si>
  <si>
    <r>
      <t xml:space="preserve">Estantes Metálicos de 5 Bandejas con refuerzo de bandeja incluido. Dimensión: 2mts x 100cm x 40cm MTS.
</t>
    </r>
    <r>
      <rPr>
        <sz val="10"/>
        <color indexed="10"/>
        <rFont val="Arial"/>
        <family val="2"/>
      </rPr>
      <t>Cantidad: 62 Unidades.</t>
    </r>
  </si>
  <si>
    <t>GOB-01-05368</t>
  </si>
  <si>
    <r>
      <t xml:space="preserve">Estantes Metálicos de 5 Bandejas con refuerzo de bandeja incluido. Dimensión: 2mts x 0.60cm x 40cm MTS.
</t>
    </r>
    <r>
      <rPr>
        <sz val="10"/>
        <color indexed="10"/>
        <rFont val="Arial"/>
        <family val="2"/>
      </rPr>
      <t>Cantidad: 9 Unidades.</t>
    </r>
  </si>
  <si>
    <t>GOB-01-05369</t>
  </si>
  <si>
    <r>
      <t xml:space="preserve">Estantes Metálicos de 5 Bandejas con refuerzo de bandeja incluido. Dimensión: 2mts x 0.80cm x 40cm MTS.
</t>
    </r>
    <r>
      <rPr>
        <sz val="10"/>
        <color indexed="10"/>
        <rFont val="Arial"/>
        <family val="2"/>
      </rPr>
      <t>Cantidad: 15 Unidades.</t>
    </r>
  </si>
  <si>
    <t>GOB-01-05370</t>
  </si>
  <si>
    <r>
      <t xml:space="preserve">Estantes Metálicos de 5 Bandejas con refuerzo de bandeja incluido. Dimensión: 2mts x 100cm x 40cm MTS.
</t>
    </r>
    <r>
      <rPr>
        <sz val="10"/>
        <color indexed="10"/>
        <rFont val="Arial"/>
        <family val="2"/>
      </rPr>
      <t>Cantidad: 101 Unidades.</t>
    </r>
  </si>
  <si>
    <t>GOB-01-05365</t>
  </si>
  <si>
    <r>
      <t xml:space="preserve">Estantes Metálicos de 5 Bandejas con refuerzo de bandeja incluido. Dimensión: 2mts x 0.60cm x 40cm MTS.
</t>
    </r>
    <r>
      <rPr>
        <sz val="10"/>
        <color indexed="10"/>
        <rFont val="Arial"/>
        <family val="2"/>
      </rPr>
      <t>Cantidad: 4 Unidades.</t>
    </r>
  </si>
  <si>
    <t>GOB-01-05366</t>
  </si>
  <si>
    <r>
      <t xml:space="preserve">Estantes Metálicos de 5 Bandejas con refuerzo de bandeja incluido. Dimensión: 2mts x 0.80cm x 40cm MTS.
</t>
    </r>
    <r>
      <rPr>
        <sz val="10"/>
        <color indexed="10"/>
        <rFont val="Arial"/>
        <family val="2"/>
      </rPr>
      <t>Cantidad: 6 Unidades.</t>
    </r>
  </si>
  <si>
    <t>GOB-01-05367</t>
  </si>
  <si>
    <r>
      <t xml:space="preserve">Estantes Metálicos de 5 Bandejas con refuerzo de bandeja incluido. Dimensión: 2mts x 100cm x 40cm MTS.
</t>
    </r>
    <r>
      <rPr>
        <sz val="10"/>
        <color indexed="10"/>
        <rFont val="Arial"/>
        <family val="2"/>
      </rPr>
      <t>Cantidad: 100 Unidades.</t>
    </r>
  </si>
  <si>
    <t>Lib. No.1860</t>
  </si>
  <si>
    <t>GOB-01-05371</t>
  </si>
  <si>
    <t>Carro Plataforma para Transporte de Cajas Dimensión: 24" x 48" 750Lbs.</t>
  </si>
  <si>
    <t>Mod. 40124</t>
  </si>
  <si>
    <t>FERRETERIA POPULAR, S.R.L.</t>
  </si>
  <si>
    <t>GOB-01-05372</t>
  </si>
  <si>
    <t>GOB-01-05373</t>
  </si>
  <si>
    <t>GOB-01-05374</t>
  </si>
  <si>
    <t>GOB-01-05375</t>
  </si>
  <si>
    <t>GOB-01-05376</t>
  </si>
  <si>
    <t>GOB-01-05377</t>
  </si>
  <si>
    <t>GOB-01-05378</t>
  </si>
  <si>
    <t>GOB-01-05379</t>
  </si>
  <si>
    <t>GOB-01-05380</t>
  </si>
  <si>
    <t>Abanico de Techo KDK sin Globo.                        Color: Blanco.</t>
  </si>
  <si>
    <t>Mod. B56XL/5</t>
  </si>
  <si>
    <t>GOB-01-05381</t>
  </si>
  <si>
    <t>Abanico de Techo KDK sin Globo.                       Color: Blanco.</t>
  </si>
  <si>
    <t>GOB-01-05382</t>
  </si>
  <si>
    <t>Abanico de Techo KDK sin Globo.                     Color: Blanco.</t>
  </si>
  <si>
    <t>GOB-01-05383</t>
  </si>
  <si>
    <t>Abanico de Techo KDK sin Globo.                    Color: Blanco.</t>
  </si>
  <si>
    <t>GOB-01-05384</t>
  </si>
  <si>
    <t>Zafacón Plástico con Tapa y Rueda.            Rubbernad. Color: Amarillo con Negro. 50gl.</t>
  </si>
  <si>
    <t>Mod. 9W2700</t>
  </si>
  <si>
    <t>GOB-01-05385</t>
  </si>
  <si>
    <t>GOB-01-05386</t>
  </si>
  <si>
    <t>GOB-01-05387</t>
  </si>
  <si>
    <t>GOB-01-05388</t>
  </si>
  <si>
    <t>Zafacón Plástico con Tapa y Rueda.            Rubbernad. Color Amarillo con Negro. 50gl.</t>
  </si>
  <si>
    <t>GOB-01-05389</t>
  </si>
  <si>
    <t>GOB-01-05390</t>
  </si>
  <si>
    <t>GOB-01-05391</t>
  </si>
  <si>
    <t>Carro Metálico de 3 Niveles en Acero Inoxidable. 18" x 28" P/Recogida de Pedido.</t>
  </si>
  <si>
    <t>Mod. BC4-3</t>
  </si>
  <si>
    <t>GOB-01-05392</t>
  </si>
  <si>
    <t>GOB-01-05393</t>
  </si>
  <si>
    <t>GOB-01-05394</t>
  </si>
  <si>
    <t>GOB-01-05395</t>
  </si>
  <si>
    <t>GOB-01-05396</t>
  </si>
  <si>
    <t>GOB-01-05399</t>
  </si>
  <si>
    <t>Escalera de 3 Peldaño Metálica y Plegable.</t>
  </si>
  <si>
    <t>GOB-01-05400</t>
  </si>
  <si>
    <t>GOB-01-05401</t>
  </si>
  <si>
    <t>GOB-01-05402</t>
  </si>
  <si>
    <t>GOB-01-05403</t>
  </si>
  <si>
    <t>GOB-01-05404</t>
  </si>
  <si>
    <t>GOB-01-05405</t>
  </si>
  <si>
    <t>GOB-01-05406</t>
  </si>
  <si>
    <t>Lib. No. 1868</t>
  </si>
  <si>
    <t>GOB-02-01615</t>
  </si>
  <si>
    <t>Computador Dell Optiplex 7010. Incluye: Monitor Dell 1916H, Mouse y Teclado.</t>
  </si>
  <si>
    <t>CPU: 37DHCY1  Monitor: D2D35D2</t>
  </si>
  <si>
    <t>GOB-02-01616</t>
  </si>
  <si>
    <t>CPU: HPKV7Y1  Monitor: 4RB35D2</t>
  </si>
  <si>
    <t>GOB-02-01617</t>
  </si>
  <si>
    <t>CPU: 82MGBZ1  Monitor: 46D35D2</t>
  </si>
  <si>
    <t>GOB-02-01618</t>
  </si>
  <si>
    <t>CPU: 82LFBZ1  Monitor: FL1C5D2</t>
  </si>
  <si>
    <t>GOB-02-01621</t>
  </si>
  <si>
    <t>CPU: 6LS0BZ1  Monitor: 5CC35D2</t>
  </si>
  <si>
    <t>GOB-02-01622</t>
  </si>
  <si>
    <t>CPU: HPFB8Y1  Monitor: 9FB35D2</t>
  </si>
  <si>
    <t>GOB-02-01623</t>
  </si>
  <si>
    <t>Impresora LaserJet Pro MFP M227FDW Multifuncional</t>
  </si>
  <si>
    <t>VNB3C34120</t>
  </si>
  <si>
    <t>GOB-02-01624</t>
  </si>
  <si>
    <t>VNB3C34085</t>
  </si>
  <si>
    <t>GOB-02-01626</t>
  </si>
  <si>
    <t>VNB3C34136</t>
  </si>
  <si>
    <t>GOB-02-01627</t>
  </si>
  <si>
    <t>UPS FORZA 750VA</t>
  </si>
  <si>
    <t>170722509325</t>
  </si>
  <si>
    <t>GOB-02-01628</t>
  </si>
  <si>
    <t>170722509326</t>
  </si>
  <si>
    <t>GOB-02-01629</t>
  </si>
  <si>
    <t>170722509327</t>
  </si>
  <si>
    <t>GOB-02-01630</t>
  </si>
  <si>
    <t>170722509328</t>
  </si>
  <si>
    <t>GOB-02-01631</t>
  </si>
  <si>
    <t>170722509457</t>
  </si>
  <si>
    <t>GOB-02-01632</t>
  </si>
  <si>
    <t>170722509458</t>
  </si>
  <si>
    <t>Lib. No.1872</t>
  </si>
  <si>
    <t>GOB-01-05407</t>
  </si>
  <si>
    <t>Locker Metálico de 8 Casilleros.</t>
  </si>
  <si>
    <t>LEON GONZALEZ,SRL.</t>
  </si>
  <si>
    <t>GOB-01-05408</t>
  </si>
  <si>
    <t>Archivo Modular de 3 Gavetas, Metálico, Color Gris</t>
  </si>
  <si>
    <t>GOB-01-05409</t>
  </si>
  <si>
    <t>GOB-01-05410</t>
  </si>
  <si>
    <t>GOB-01-05411</t>
  </si>
  <si>
    <t>GOB-01-05412</t>
  </si>
  <si>
    <t>Silla Secretarial en Tela Negra con Brazos</t>
  </si>
  <si>
    <t>GOB-01-05413</t>
  </si>
  <si>
    <t>GOB-01-05414</t>
  </si>
  <si>
    <t>Escritorio en Melanina 120 x 60 en L</t>
  </si>
  <si>
    <t>GOB-01-05415</t>
  </si>
  <si>
    <t>GOB-01-05416</t>
  </si>
  <si>
    <t>GOB-01-05417</t>
  </si>
  <si>
    <t>GOB-01-05418</t>
  </si>
  <si>
    <t>Sillón Semi-Ejecutivo en Tela Negra, Giratorio.</t>
  </si>
  <si>
    <t>GOB-01-05419</t>
  </si>
  <si>
    <t>GOB-01-05420</t>
  </si>
  <si>
    <t>GOB-01-05421</t>
  </si>
  <si>
    <t>Lib. No. 1874</t>
  </si>
  <si>
    <t>GOB-01-05422</t>
  </si>
  <si>
    <t>Mesa Desmontable en Resina y Estructura Metálica. Dimensión: 30 x 73 x 30</t>
  </si>
  <si>
    <t>COMPU-OFFICE DOMINICANA, SRL.</t>
  </si>
  <si>
    <t>GOB-01-05423</t>
  </si>
  <si>
    <t>GOB-01-05424</t>
  </si>
  <si>
    <t>GOB-01-05425</t>
  </si>
  <si>
    <t>Silla Star Plegadiza en Resina y Estructura Metálica</t>
  </si>
  <si>
    <t>GOB-01-05426</t>
  </si>
  <si>
    <t>GOB-01-05429</t>
  </si>
  <si>
    <t>GOB-01-05430</t>
  </si>
  <si>
    <t>GOB-01-05431</t>
  </si>
  <si>
    <t>Archivo Vertical de 4 Gavetas, Metálico, Color Gris</t>
  </si>
  <si>
    <t>GOB-01-05432</t>
  </si>
  <si>
    <t>GOB-01-05434</t>
  </si>
  <si>
    <t>Lib. No. 1843</t>
  </si>
  <si>
    <t>GOB-01-05435</t>
  </si>
  <si>
    <t>Extintor de Fuego ABC Amerex de 10 Lbs.</t>
  </si>
  <si>
    <t>TORIBIO MONES, SRL.</t>
  </si>
  <si>
    <t>GOB-01-05436</t>
  </si>
  <si>
    <t>GOB-01-05437</t>
  </si>
  <si>
    <t>GOB-01-05438</t>
  </si>
  <si>
    <t>GOB-01-05439</t>
  </si>
  <si>
    <t>GOB-01-05440</t>
  </si>
  <si>
    <t>GOB-01-05441</t>
  </si>
  <si>
    <t>Lib. No. 2116</t>
  </si>
  <si>
    <t>GOB-01-05442</t>
  </si>
  <si>
    <t>Aire Acondicionado Inverter de 60,000 BTU Marca: Everwell. Incluye: Toda la ductería y la Instalación de las nueve (9) Unidades Adquiridas.</t>
  </si>
  <si>
    <t>Instalado</t>
  </si>
  <si>
    <t>INVERPACK, SRL.</t>
  </si>
  <si>
    <t>GOB-01-05443</t>
  </si>
  <si>
    <t>Aire Acondicionado Inverter de 60,000 BTU Marca: Everwell.</t>
  </si>
  <si>
    <t>GOB-01-05444</t>
  </si>
  <si>
    <t>GOB-01-05445</t>
  </si>
  <si>
    <t>Unidad de Población Clave</t>
  </si>
  <si>
    <t>GOB-01-05446</t>
  </si>
  <si>
    <t>Unidad de Atención Integral</t>
  </si>
  <si>
    <t>HOSPITAL GENERAL POLICIA NACIONAL</t>
  </si>
  <si>
    <t>GOB-01-05447</t>
  </si>
  <si>
    <t>GOB-01-05448</t>
  </si>
  <si>
    <t>GOB-01-05449</t>
  </si>
  <si>
    <t>GOB-01-05450</t>
  </si>
  <si>
    <t>Aire Acondicionado Inverter de 36,000 BTU  Marca: Everwell.</t>
  </si>
  <si>
    <t>Lib. No. 1987</t>
  </si>
  <si>
    <t>GOB-03-00043</t>
  </si>
  <si>
    <t>Camioneta Nissan Frontier NP300. Año 2018  placa: EL07380</t>
  </si>
  <si>
    <t>Chasis No.            3N6CD33B2ZK385967</t>
  </si>
  <si>
    <t>GOB-03-00044</t>
  </si>
  <si>
    <t>Camioneta Nissan Frontier NP300. Año 2018  placa: EL07379</t>
  </si>
  <si>
    <t>Chasis No.            3N6CD33B7ZK385978</t>
  </si>
  <si>
    <t>GOB-03-00045</t>
  </si>
  <si>
    <t>Camioneta Nissan Frontier NP300. Año 2018  placa: EL07381</t>
  </si>
  <si>
    <t>Chasis No.            3N6CD33B1ZK386107</t>
  </si>
  <si>
    <t>GOB-03-00046</t>
  </si>
  <si>
    <t>Camioneta Nissan Frontier NP300. Año 2018 placa: EL07382</t>
  </si>
  <si>
    <t>Chasis No.            3N6CD33B6ZK383039</t>
  </si>
  <si>
    <t>Lib. No. 1969</t>
  </si>
  <si>
    <t>GOB-02-01635</t>
  </si>
  <si>
    <t>Impresora LaserJet Pro MFP M227FDW Multifuncional.</t>
  </si>
  <si>
    <t>VNB3M03156</t>
  </si>
  <si>
    <t>Oficina Libre Acceso a la Información</t>
  </si>
  <si>
    <t>FL BETANCES &amp; ASOCIADOS, S.A.</t>
  </si>
  <si>
    <t>Lib. No.2180</t>
  </si>
  <si>
    <t>GOB-01-05451</t>
  </si>
  <si>
    <t>Televisor Panasonic 32" LED SMART</t>
  </si>
  <si>
    <t>EXBA60510363</t>
  </si>
  <si>
    <t>OFFICE DEPOT DOMINICANA CORP.</t>
  </si>
  <si>
    <t>Lib. No.2182</t>
  </si>
  <si>
    <t>GOB-01-05452</t>
  </si>
  <si>
    <t>Videocámara Profesional Sony HXR-MC2500 AVCHD 12x Zoom. Incluye: 3 Bateria NP-F570, Cargador, Adaptador AC, Cable USB, Microfono, Parasol, Difusor de Luz, Copa de Visor, Tapa de Lente, Cover Protector P/Lluvia, Bulto, 2 Memoria Scandisk 64GB.</t>
  </si>
  <si>
    <t>LR CAMARAS SHOP, S.R.L.</t>
  </si>
  <si>
    <t>GOB-01-05453</t>
  </si>
  <si>
    <t>Paneles de Luces Led Neewer CN-160 para Video 160 Bombillas Led, Graduación de Intensidad, Filtro Gris y Naranja. Incluye: Bateria Kastar Tipo NP-F570 y Cargador Genérico. Cantidad: 2 Unidades.</t>
  </si>
  <si>
    <t>GOB-01-05454</t>
  </si>
  <si>
    <t>Sistema de Micrófonos Inalambrico Saramonic UWMIC9. Incluye: 1x Receptor, 2x Emisores, 2x Microfono Lavalier, 1x Cable de Audio 3.5mm, 1x Adaptador XLR a 3.5mm</t>
  </si>
  <si>
    <t>Lib. No.2199</t>
  </si>
  <si>
    <t>GOB-02-01637</t>
  </si>
  <si>
    <t>Apple iMAC MNE92LL/A 27 Pulgada</t>
  </si>
  <si>
    <t>CO2VN34QJ1GG</t>
  </si>
  <si>
    <t>GOB-02-01639</t>
  </si>
  <si>
    <t>Laptop Dell Inspiron I5 5567</t>
  </si>
  <si>
    <t>3Q0FJ22</t>
  </si>
  <si>
    <t xml:space="preserve">Prensa y Relaciones Pública </t>
  </si>
  <si>
    <t>GOB-02-01638</t>
  </si>
  <si>
    <t>1WSHJ22</t>
  </si>
  <si>
    <t>Prensa y Relaciones Pública / Sugey de Jesús</t>
  </si>
  <si>
    <t>GOB-02-01640</t>
  </si>
  <si>
    <t>AWRHC56102</t>
  </si>
  <si>
    <t xml:space="preserve">Gestion Humana         Miguel Ruiz </t>
  </si>
  <si>
    <t>GOB-02-01641</t>
  </si>
  <si>
    <t>AWRHF08993</t>
  </si>
  <si>
    <t>Monitores Financieros</t>
  </si>
  <si>
    <t>GOB-02-01642</t>
  </si>
  <si>
    <t>AWRHF08495</t>
  </si>
  <si>
    <t>Depto. De Adquisiciones   Damaris Mesa</t>
  </si>
  <si>
    <t>Lib. No.73-1</t>
  </si>
  <si>
    <t>GOB-03-00047</t>
  </si>
  <si>
    <t>Jeepeta Toyota 4Runner 4x4 Limited 2018. Color Negra.  Placa: EG02815</t>
  </si>
  <si>
    <t>JTEBU4JR005508257</t>
  </si>
  <si>
    <t>DELTA COMERCIAL, S.A.</t>
  </si>
  <si>
    <t>Lib. No.255</t>
  </si>
  <si>
    <t>GOB-01-05455</t>
  </si>
  <si>
    <t>Máquina Dispensadora de Condones con Sistema de Monedas. Dimensión: 75 x 12 x 16cm.</t>
  </si>
  <si>
    <t xml:space="preserve">PRO-FAMILIA
SANTO DOMINGO, GAZCUE
</t>
  </si>
  <si>
    <t>R TIRADO SOLUTION SERVICES, SRL.</t>
  </si>
  <si>
    <t>GOB-01-05456</t>
  </si>
  <si>
    <t>GOB-01-05457</t>
  </si>
  <si>
    <t>GOB-01-05458</t>
  </si>
  <si>
    <t>GOB-01-05459</t>
  </si>
  <si>
    <t>GOB-01-05460</t>
  </si>
  <si>
    <t>GOB-01-05461</t>
  </si>
  <si>
    <t>GOB-01-05462</t>
  </si>
  <si>
    <t>GOB-01-05463</t>
  </si>
  <si>
    <t>GOB-01-05464</t>
  </si>
  <si>
    <t>GOB-01-05465</t>
  </si>
  <si>
    <t>GOB-01-05466</t>
  </si>
  <si>
    <t>GOB-01-05467</t>
  </si>
  <si>
    <t>GOB-01-05468</t>
  </si>
  <si>
    <t>GOB-01-05469</t>
  </si>
  <si>
    <t>GOB-01-05470</t>
  </si>
  <si>
    <t>GOB-01-05471</t>
  </si>
  <si>
    <t>GOB-01-05472</t>
  </si>
  <si>
    <t>GOB-01-05473</t>
  </si>
  <si>
    <t>GOB-01-05474</t>
  </si>
  <si>
    <t>GOB-01-05475</t>
  </si>
  <si>
    <t>GOB-01-05476</t>
  </si>
  <si>
    <t>GOB-01-05477</t>
  </si>
  <si>
    <t>GOB-01-05478</t>
  </si>
  <si>
    <t>GOB-01-05479</t>
  </si>
  <si>
    <t>GOB-01-05480</t>
  </si>
  <si>
    <t>GOB-01-05481</t>
  </si>
  <si>
    <t>GOB-01-05482</t>
  </si>
  <si>
    <t>GOB-01-05483</t>
  </si>
  <si>
    <t>GOB-01-05484</t>
  </si>
  <si>
    <t>GOB-01-05485</t>
  </si>
  <si>
    <t>GOB-01-05486</t>
  </si>
  <si>
    <t>GOB-01-05487</t>
  </si>
  <si>
    <t>GOB-01-05488</t>
  </si>
  <si>
    <t>GOB-01-05489</t>
  </si>
  <si>
    <t>Lib. No.470</t>
  </si>
  <si>
    <t>GOB-01-05492</t>
  </si>
  <si>
    <t>Nevera Ejecutiva Frigidaire 4.5” Pies Cúbico. Modelo: FRD04G3HPI. Color: Acero/Negro</t>
  </si>
  <si>
    <t>Lib. No.600</t>
  </si>
  <si>
    <t>GOB-02-01644</t>
  </si>
  <si>
    <t>Computador Dell Optiplex 3050</t>
  </si>
  <si>
    <t>CPU: 60TSWK2    MONITOR: CN-OKJ5TR-FC000-7BR-AA36</t>
  </si>
  <si>
    <r>
      <t xml:space="preserve">Donada al Jóven       </t>
    </r>
    <r>
      <rPr>
        <b/>
        <sz val="10"/>
        <rFont val="Arial"/>
        <family val="2"/>
      </rPr>
      <t>Dalfi De la Cruz</t>
    </r>
  </si>
  <si>
    <t>Lib. No.686 Pagado en Junio, 2017</t>
  </si>
  <si>
    <t>GOB-01-05493</t>
  </si>
  <si>
    <t>Archivo Modular de 3 Gavetas, Color Gris</t>
  </si>
  <si>
    <t>Consultoría Jurídica      Maria Castillo( Tatis)</t>
  </si>
  <si>
    <t>ACTUALIDADES VD, SRL.</t>
  </si>
  <si>
    <t>GOB-01-05499</t>
  </si>
  <si>
    <t>Butaca de Visita en Pielina Negra y Base Niquelada.</t>
  </si>
  <si>
    <t>Planificación y Desarrollo   Nelson Belisario</t>
  </si>
  <si>
    <t>GOB-01-05500</t>
  </si>
  <si>
    <t>Lib. No.1152</t>
  </si>
  <si>
    <t>GOB-01-05501</t>
  </si>
  <si>
    <t xml:space="preserve">Abanico Enfriador Portátil, Color Gris, Marca: Honeywell, Modelo: CL201AE
</t>
  </si>
  <si>
    <t>1608/0002167</t>
  </si>
  <si>
    <t>GOB-01-05502</t>
  </si>
  <si>
    <t>1612/0003531</t>
  </si>
  <si>
    <t>GOB-01-05503</t>
  </si>
  <si>
    <t>Lib. No.1172 Pagado en Sept., 2017</t>
  </si>
  <si>
    <t>GOB-01-05504</t>
  </si>
  <si>
    <t>Cortinas Enrollable Blackout en Vinil, Color Crema. Cantidad: 27 Unidades.</t>
  </si>
  <si>
    <t>Almacén (20) Monitores Financiero (3). Coord. Admtva. (2). Población Clave (2).</t>
  </si>
  <si>
    <t xml:space="preserve">Almacenes  San cristobal </t>
  </si>
  <si>
    <t>INTERDECO, SRL.</t>
  </si>
  <si>
    <t>GOB-01-05505</t>
  </si>
  <si>
    <t>Credenza en Melamina Color Haya, Puertas. Corrediza.</t>
  </si>
  <si>
    <t>Mod. LM-644</t>
  </si>
  <si>
    <t>Sillón Ejecutivo en Pielina, Color Negro y Base Niquelada.</t>
  </si>
  <si>
    <t>GOB-01-05509</t>
  </si>
  <si>
    <t>Estante Tipo Librero en Madera, Color Cerezo, Dos Tramos y Dos Puertas Bajas</t>
  </si>
  <si>
    <t>Mod. LM-VE1402</t>
  </si>
  <si>
    <t>GOB-01-05510</t>
  </si>
  <si>
    <t>GOB-01-05511</t>
  </si>
  <si>
    <t>GOB-01-05512</t>
  </si>
  <si>
    <t>Mod. LM-VE1402 / USADO</t>
  </si>
  <si>
    <t>GOB-01-05513</t>
  </si>
  <si>
    <t>Credenza en Madera Enchapada, Con Puertas Abatibles y Cristal</t>
  </si>
  <si>
    <t>Mod. LM-G6816   Dimención: 158 cm</t>
  </si>
  <si>
    <t>GOB-01-05514</t>
  </si>
  <si>
    <t>Escritorio en L, Tope Melanina y Estructura Metalica Color Gris y Pata Tubular</t>
  </si>
  <si>
    <t>Mod. LM-E162</t>
  </si>
  <si>
    <t>GOB-01-05515</t>
  </si>
  <si>
    <t xml:space="preserve">Prensa y Relaciones Pública                          </t>
  </si>
  <si>
    <t>GOB-01-05516</t>
  </si>
  <si>
    <t>Credenza en Caoba con Puerta y Gavetas. Dimension: 16 x 43.</t>
  </si>
  <si>
    <t>120 cm Largo x 0.50 cm Ancho x 0.76 cm Altura</t>
  </si>
  <si>
    <t>GOB-01-05517</t>
  </si>
  <si>
    <t xml:space="preserve">      Planificación y Desarrollo  Francisco Eusebio  </t>
  </si>
  <si>
    <t>GOB-01-05518</t>
  </si>
  <si>
    <t xml:space="preserve">Prensa y Relaciones Pública                           </t>
  </si>
  <si>
    <t>GOB-01-05519</t>
  </si>
  <si>
    <t xml:space="preserve">Prensa y Relaciones Pública                         </t>
  </si>
  <si>
    <t>GOB-01-05520</t>
  </si>
  <si>
    <t>Unidad de Población Clave                              Rancier</t>
  </si>
  <si>
    <t>GOB-01-05521</t>
  </si>
  <si>
    <t xml:space="preserve">Monitores Financieros  Licelotte Calvajal </t>
  </si>
  <si>
    <t>GOB-01-05522</t>
  </si>
  <si>
    <t xml:space="preserve">          Gestión Humana </t>
  </si>
  <si>
    <t>GOB-01-05523</t>
  </si>
  <si>
    <t>GOB-01-05524</t>
  </si>
  <si>
    <t>GOB-01-05525</t>
  </si>
  <si>
    <t xml:space="preserve">Coordinación Administrativa         Miriam J. Beaz </t>
  </si>
  <si>
    <t>GOB-01-05526</t>
  </si>
  <si>
    <t>Unidad de Población Clave                     Waddy Ramirez</t>
  </si>
  <si>
    <t>GOB-01-05527</t>
  </si>
  <si>
    <t>GOB-01-05528</t>
  </si>
  <si>
    <t>GOB-01-05529</t>
  </si>
  <si>
    <t>Mesa de Centro con Tope de Cristal y Base Metálica. Dimensión: 24 x 36 x 16</t>
  </si>
  <si>
    <t xml:space="preserve">Mod. OF-146 </t>
  </si>
  <si>
    <t>Gerencia Tecnica  Melvin Brioso</t>
  </si>
  <si>
    <t>GOB-01-05537</t>
  </si>
  <si>
    <t>GOB-01-05540</t>
  </si>
  <si>
    <t>Unidad Población Clave  Raziel Zayas</t>
  </si>
  <si>
    <t>GOB-01-05541</t>
  </si>
  <si>
    <t>GOB-01-05542</t>
  </si>
  <si>
    <t>GOB-01-05543</t>
  </si>
  <si>
    <t>GOB-01-05544</t>
  </si>
  <si>
    <t>GOB-01-05545</t>
  </si>
  <si>
    <t>GOB-01-05546</t>
  </si>
  <si>
    <t>GOB-01-05547</t>
  </si>
  <si>
    <t>GOB-01-05548</t>
  </si>
  <si>
    <t>Mesa de Conferencia en Caoba en Forma de U. Dimensión: 4.45 x 3.70</t>
  </si>
  <si>
    <r>
      <t xml:space="preserve">GOB-01-05549(SIAB) </t>
    </r>
    <r>
      <rPr>
        <b/>
        <sz val="10"/>
        <rFont val="Arial"/>
        <family val="2"/>
      </rPr>
      <t>GOBDOM-02-01822</t>
    </r>
  </si>
  <si>
    <r>
      <t xml:space="preserve">GOB-01-05550(SIAB) </t>
    </r>
    <r>
      <rPr>
        <b/>
        <sz val="10"/>
        <rFont val="Arial"/>
        <family val="2"/>
      </rPr>
      <t>GOBDOM-02-01823</t>
    </r>
  </si>
  <si>
    <t>GOB-01-05551</t>
  </si>
  <si>
    <t>GOB-01-05552</t>
  </si>
  <si>
    <t>GOB-01-05553</t>
  </si>
  <si>
    <t>GOB-01-05554</t>
  </si>
  <si>
    <t>GOB-01-05555</t>
  </si>
  <si>
    <t>GOB-01-05556</t>
  </si>
  <si>
    <t>GOB-01-05557</t>
  </si>
  <si>
    <t>GOB-01-05558</t>
  </si>
  <si>
    <t>Modesto Peña</t>
  </si>
  <si>
    <t>ASOCIACION DE AJEDREZ DE BARAHONA</t>
  </si>
  <si>
    <t>Lib. No.760</t>
  </si>
  <si>
    <t>GOB-02-01645</t>
  </si>
  <si>
    <t>Disco Duro Externo de 1 TB Ext. 2.5" Seagata Backup Plus USB 3.0</t>
  </si>
  <si>
    <t>NA9CS904</t>
  </si>
  <si>
    <t>Prensa y Relaciones Pública                 Santiago de Aza</t>
  </si>
  <si>
    <t>GOB-02-01646</t>
  </si>
  <si>
    <t>NA9CS96C</t>
  </si>
  <si>
    <t xml:space="preserve">Lib. No.860 </t>
  </si>
  <si>
    <t>GOB-01-05563</t>
  </si>
  <si>
    <t>Mod. LM-G6816</t>
  </si>
  <si>
    <t>Lib. No.996</t>
  </si>
  <si>
    <t>GOB-02-01647</t>
  </si>
  <si>
    <t>Servidor HPE ProLaint DL360 Gen 10 (Servidor para Virtualización)</t>
  </si>
  <si>
    <t>MXQ82704XF</t>
  </si>
  <si>
    <t>Unidad de Tecnología  Cuarto de Servidores</t>
  </si>
  <si>
    <t>H&amp;H SOLUTION, SRL.</t>
  </si>
  <si>
    <t>Lib. No.998</t>
  </si>
  <si>
    <t>GOB-02-01648</t>
  </si>
  <si>
    <t>Servidor de Almacenamiento Centralizado HPE StoreEasy</t>
  </si>
  <si>
    <t>MXQ83404T6</t>
  </si>
  <si>
    <t>MULTICOMPUTOS, SRL.</t>
  </si>
  <si>
    <t>GOB-02-01649</t>
  </si>
  <si>
    <t>Software de Respaldo de Datos</t>
  </si>
  <si>
    <t>GOB-02-01650</t>
  </si>
  <si>
    <t>Unidad de Cinta HPE (Tape Backup)</t>
  </si>
  <si>
    <t>HUJ824AHMA</t>
  </si>
  <si>
    <t>Lib. No.1947</t>
  </si>
  <si>
    <t>GOB-01-05567</t>
  </si>
  <si>
    <t>Escritorio Tope Melamina y Estructura Metalica Color Silver</t>
  </si>
  <si>
    <t>GOB-01-05568</t>
  </si>
  <si>
    <t>Unidad de Población Clave                         Ramón Acevedo</t>
  </si>
  <si>
    <t>Lib. No.2012</t>
  </si>
  <si>
    <t>GOB-02-01651</t>
  </si>
  <si>
    <t>Impresora HP Multifuncional LaserJet M426FDW PRO 400</t>
  </si>
  <si>
    <t>PHBLL7R446</t>
  </si>
  <si>
    <t>GOB-02-01652</t>
  </si>
  <si>
    <t>Impresora HP Color Multifuncional LaserJet M477FDN PRO MFP</t>
  </si>
  <si>
    <t>VNBKL9PHDY</t>
  </si>
  <si>
    <t xml:space="preserve">Controles Internos        Gumercindo Cuevas </t>
  </si>
  <si>
    <t>GOB-01-05564</t>
  </si>
  <si>
    <t xml:space="preserve">Máquina Sumadora Sharp EL-2630PIII </t>
  </si>
  <si>
    <t>8D020705</t>
  </si>
  <si>
    <t xml:space="preserve">Controles Internos       Gumercindo Cuevas </t>
  </si>
  <si>
    <t>GOB-01-05565</t>
  </si>
  <si>
    <t>8D019458</t>
  </si>
  <si>
    <t>Controles Internos       Carlos Castillo</t>
  </si>
  <si>
    <t>GOB-01-05566</t>
  </si>
  <si>
    <t>8D020675</t>
  </si>
  <si>
    <t>Controles Internos       Yoel Mieses</t>
  </si>
  <si>
    <t>Lib. No.521-1</t>
  </si>
  <si>
    <t>GOB-02-01693</t>
  </si>
  <si>
    <t>Laptop Apple Macbook Pro 13.3". Incluye: Teclado y Mouse Apple Magic Inalámbrico.</t>
  </si>
  <si>
    <t>Laptop; C02Y35P6JHCD        Monitor: CN-0NO1VP-64180-23H-1MCS</t>
  </si>
  <si>
    <t xml:space="preserve">Gerencia tecnica               Santiago De Aza </t>
  </si>
  <si>
    <t>Lib. No.523-1</t>
  </si>
  <si>
    <t>GOB-02-01694</t>
  </si>
  <si>
    <t>Scanner Fujitsu Scan Snap iX1500</t>
  </si>
  <si>
    <t>C06H006710</t>
  </si>
  <si>
    <t xml:space="preserve"> Correspondencia   </t>
  </si>
  <si>
    <t>GOB-02-01695</t>
  </si>
  <si>
    <t>C06H006703</t>
  </si>
  <si>
    <t xml:space="preserve"> Coordinación Financiera Indhira Popoteur</t>
  </si>
  <si>
    <t>GOB-02-01696</t>
  </si>
  <si>
    <t>C06H006679</t>
  </si>
  <si>
    <t>Gestión Humana                                       Prestado</t>
  </si>
  <si>
    <t>GOB-02-01697</t>
  </si>
  <si>
    <t>Proyector Epson PowerLite S39 3300 Lúmenes</t>
  </si>
  <si>
    <t>X52M913802L</t>
  </si>
  <si>
    <t>GOB-02-01698</t>
  </si>
  <si>
    <t>X52M913872L</t>
  </si>
  <si>
    <t>Nelson Belisario</t>
  </si>
  <si>
    <t>Lib. No.599-1</t>
  </si>
  <si>
    <t>GOB-02-01699</t>
  </si>
  <si>
    <t>Impresora HP LaserJet Pro 400 Color MFP M477FD. Multifuncional.</t>
  </si>
  <si>
    <t>VNBKL9PHCF</t>
  </si>
  <si>
    <t>Unidad Población Clave</t>
  </si>
  <si>
    <t>Lib. No.688-1</t>
  </si>
  <si>
    <t>GOBDOM-04-00115</t>
  </si>
  <si>
    <t>Grabadora Olympus DM-720</t>
  </si>
  <si>
    <t>Prensa y Relaciones Públicas</t>
  </si>
  <si>
    <t>GOBDOM-04-00116</t>
  </si>
  <si>
    <t>Microfono USB Studio Condesador Marantz Professional MPM-1000U</t>
  </si>
  <si>
    <t>LPNRR688557253</t>
  </si>
  <si>
    <t>GOBDOM-02-01734</t>
  </si>
  <si>
    <t>Apple Ipad 6th Generación 128GB Wifi 9.7in Erly 2018</t>
  </si>
  <si>
    <t>SGG7X9SU2JF8M</t>
  </si>
  <si>
    <t xml:space="preserve">Prensa y Relaciones Públicas                      </t>
  </si>
  <si>
    <t>GOBDOM-02-01735</t>
  </si>
  <si>
    <t>SGG7XX4DTJF8M</t>
  </si>
  <si>
    <t>Prensa y Relaciones Públicas                      Sugey de Jesús</t>
  </si>
  <si>
    <t>GOBDOM-02-01736</t>
  </si>
  <si>
    <t>Impresora HP LaserJet Pro M281FDW Color. Multifuncional.</t>
  </si>
  <si>
    <t>VNBNM173MS</t>
  </si>
  <si>
    <t>Lib. No.1067-1</t>
  </si>
  <si>
    <t>GOBDOM-03-00048</t>
  </si>
  <si>
    <t>Bicicleta Aro 20 Tipo Mountain Bike P/Niña</t>
  </si>
  <si>
    <t>MONTVEST SERVICIOS DE INVERSION, SRL.</t>
  </si>
  <si>
    <t>GOBDOM-03-00049</t>
  </si>
  <si>
    <t>Bicicleta Aro 24 Tipo Mountain Bike P/Niño</t>
  </si>
  <si>
    <t>Lib. No.1279-1</t>
  </si>
  <si>
    <t>Sillón Ejecutivo en Pielina Negra y Base Niquelada.</t>
  </si>
  <si>
    <t>LEON GONZALEZ, S.R.L</t>
  </si>
  <si>
    <t>GOBDOM-01-05582</t>
  </si>
  <si>
    <t xml:space="preserve">Consultoría Jurídica     </t>
  </si>
  <si>
    <t>GOBDOM-01-05584</t>
  </si>
  <si>
    <t>GOBDOM-01-05586</t>
  </si>
  <si>
    <t>Butaca de Visita en Pielina Negra y Base Cromada</t>
  </si>
  <si>
    <t>Gerencia Técnica       Rosa Sánchez</t>
  </si>
  <si>
    <t>GOBDOM-01-05587</t>
  </si>
  <si>
    <t>GOBDOM-01-05588</t>
  </si>
  <si>
    <t>Unidad de Adquisiciones    Gisselle Otero</t>
  </si>
  <si>
    <t>GOBDOM-01-05589</t>
  </si>
  <si>
    <t>GOBDOM-01-05590</t>
  </si>
  <si>
    <t>Estante Tipo Librero con Puerta Baja en Melamina.</t>
  </si>
  <si>
    <t>GOBDOM-01-05591</t>
  </si>
  <si>
    <t xml:space="preserve">Acceso a la Información  </t>
  </si>
  <si>
    <t>GOBDOM-01-05592</t>
  </si>
  <si>
    <t>Escritorio en Melamina con Gavetas 100x50cm</t>
  </si>
  <si>
    <t xml:space="preserve">Prensa y Relaciones Públicas                 </t>
  </si>
  <si>
    <t>GOBDOM-01-05593</t>
  </si>
  <si>
    <t>GOBDOM-01-05594</t>
  </si>
  <si>
    <t>Escritorio en Melamina y Base Metálica 140x70cm</t>
  </si>
  <si>
    <t>GOBDOM-01-05595</t>
  </si>
  <si>
    <t>Sillón Técnico Secretarial en Malla y Soporte Lumbar y Color Negro</t>
  </si>
  <si>
    <t>Ante-Despacho                   Gisela García</t>
  </si>
  <si>
    <t>Almacen de Suministro</t>
  </si>
  <si>
    <t>GOBDOM-01-05612</t>
  </si>
  <si>
    <t>Coordinación Financiera    Welinton Mora</t>
  </si>
  <si>
    <t>GOBDOM-01-05613</t>
  </si>
  <si>
    <t>Coordinación Financiera   Aurora Moquete</t>
  </si>
  <si>
    <t>GOBDOM-01-05617</t>
  </si>
  <si>
    <t>Monitores Financieros   José Santana</t>
  </si>
  <si>
    <t>Lib. No.1310-1</t>
  </si>
  <si>
    <t>GOBDOM-04-00117</t>
  </si>
  <si>
    <t>Base Telefónica IP P/Starvox DP750</t>
  </si>
  <si>
    <t>207GHTWJ40D54926</t>
  </si>
  <si>
    <t xml:space="preserve">Monitores Financieros   </t>
  </si>
  <si>
    <t>GOBDOM-04-00118</t>
  </si>
  <si>
    <t>207GHTWJ40D54927</t>
  </si>
  <si>
    <t>GOBDOM-04-00119</t>
  </si>
  <si>
    <t>Teléfono Grandstream DP720</t>
  </si>
  <si>
    <t>207GHWYJ7004D810</t>
  </si>
  <si>
    <t>GOBDOM-04-00120</t>
  </si>
  <si>
    <t>207GHWYJ7004D811</t>
  </si>
  <si>
    <t>GOBDOM-04-00121</t>
  </si>
  <si>
    <t>207GHWYJ7004D813</t>
  </si>
  <si>
    <t>GOBDOM-04-00122</t>
  </si>
  <si>
    <t>207GHWYJ7004D819</t>
  </si>
  <si>
    <t>GOBDOM-04-00123</t>
  </si>
  <si>
    <t>207GHWYJ7004D80A</t>
  </si>
  <si>
    <t>GOBDOM-04-00124</t>
  </si>
  <si>
    <t>207GHWYJ7004D80E</t>
  </si>
  <si>
    <t>Lib. No.1838-1</t>
  </si>
  <si>
    <t>GOBDOM-01-05618</t>
  </si>
  <si>
    <t>Archivo Lateral Metálico de 4 Gavetas.  Color Gris. 16 x 36 x 52.5</t>
  </si>
  <si>
    <t>Gestión Humana          Angela Muñoz</t>
  </si>
  <si>
    <t>Lib. No.1834-1</t>
  </si>
  <si>
    <t xml:space="preserve">Termohigómetro Digital Noeteck V20. </t>
  </si>
  <si>
    <t>Mod. NTK026</t>
  </si>
  <si>
    <t>ALMACEN REGIONAL DE MEDICAMENTOS REGION VI - SJM</t>
  </si>
  <si>
    <t>ROMFER OFFICE STORE, SRL.</t>
  </si>
  <si>
    <t>GOBDOM-05-01831</t>
  </si>
  <si>
    <t>ALMACEN REGIONAL DE MEDICAMENTOS REGION V - SPM</t>
  </si>
  <si>
    <t>GOBDOM-05-01832</t>
  </si>
  <si>
    <t>Lib. No.1864-1</t>
  </si>
  <si>
    <t>AVG COMERCIAL, SRL.</t>
  </si>
  <si>
    <t>GOBDOM-01-05621</t>
  </si>
  <si>
    <t>Carro Plataforma P/Transp. De Cajas</t>
  </si>
  <si>
    <t>GOBDOM-01-05622</t>
  </si>
  <si>
    <t>GOBDOM-01-05623</t>
  </si>
  <si>
    <t>GOBDOM-01-05624</t>
  </si>
  <si>
    <t>GOBDOM-01-05625</t>
  </si>
  <si>
    <r>
      <t xml:space="preserve">Estantes Metálicos de 5 Bandejas   Dimensión: 2.0 x 1.20 x 0.40 MTS.
</t>
    </r>
    <r>
      <rPr>
        <b/>
        <sz val="10"/>
        <rFont val="Arial"/>
        <family val="2"/>
      </rPr>
      <t>Cantidad: 50 Unidades.</t>
    </r>
  </si>
  <si>
    <t>GOBDOM-01-05626</t>
  </si>
  <si>
    <t>Extintores Portátil de Polvo Químico - Carga 2.5kg</t>
  </si>
  <si>
    <t>Extintor Portátil Polvo Químico - 2.5kg</t>
  </si>
  <si>
    <t>GOBDOM-01-05627</t>
  </si>
  <si>
    <t>GOBDOM-01-05628</t>
  </si>
  <si>
    <t>GOBDOM-01-05629</t>
  </si>
  <si>
    <t>GOBDOM-01-05630</t>
  </si>
  <si>
    <t>GOBDOM-01-05631</t>
  </si>
  <si>
    <t>Extintores CO2 Portátil - Carga de 5KG</t>
  </si>
  <si>
    <t>GOBDOM-01-05632</t>
  </si>
  <si>
    <t>GOBDOM-01-05633</t>
  </si>
  <si>
    <t>Mesa Plegable de Resina + 2 Sillas</t>
  </si>
  <si>
    <t>GOBDOM-01-05634</t>
  </si>
  <si>
    <r>
      <t xml:space="preserve">Tarimas Plásticas. Tipo Plataforma, carga estática de 1,500 kg. Dimensión 1.20 x 1.20.  </t>
    </r>
    <r>
      <rPr>
        <b/>
        <sz val="10"/>
        <rFont val="Arial"/>
        <family val="2"/>
      </rPr>
      <t>Cantidad: 12 Unidades</t>
    </r>
    <r>
      <rPr>
        <sz val="11"/>
        <color theme="1"/>
        <rFont val="Calibri"/>
        <family val="2"/>
        <scheme val="minor"/>
      </rPr>
      <t>.</t>
    </r>
  </si>
  <si>
    <t>GOBDOM-01-05635</t>
  </si>
  <si>
    <t>Zafacón Plástico con Tapa y Rueda. Capacidad: 50 Galones.</t>
  </si>
  <si>
    <t>GOBDOM-01-05636</t>
  </si>
  <si>
    <t>GOBDOM-01-05637</t>
  </si>
  <si>
    <t>Lib. No.93-1</t>
  </si>
  <si>
    <t>GOBDOM-02-01743</t>
  </si>
  <si>
    <t>Software Adobe Acrobat Pro DC. Cantidad: Dos (02) Licencia. Suscripción Anual. Válida hasta el 27/12/2020.</t>
  </si>
  <si>
    <t>METRIC TOUCH, S.R.L.</t>
  </si>
  <si>
    <t>GOBDOM-02-01744</t>
  </si>
  <si>
    <t>Software Creative Cloud. Cantidad: Dos (02) Licencia. Suscripción Anual. Válida hasta el 27/12/2020.</t>
  </si>
  <si>
    <t>GOBDOM-02-01745</t>
  </si>
  <si>
    <t>Software Adobe Photoshop. Cantidad: Una (01) Licencia. Suscripción Anual. Válida hasta el 27/12/2020.</t>
  </si>
  <si>
    <t>Lib. No.372-1</t>
  </si>
  <si>
    <t>GOBDOM-02-01746</t>
  </si>
  <si>
    <t>Computador Dell Optiplex 3070. Incluye: Mouse, Teclado y Monitor Dell 22" E2216H</t>
  </si>
  <si>
    <t>CPU: C8TX233 Monitor: 5T92SY2</t>
  </si>
  <si>
    <t>GOBDOM-02-01747</t>
  </si>
  <si>
    <t>Monitor Dell 22" P2219H</t>
  </si>
  <si>
    <t>4JNC8W2</t>
  </si>
  <si>
    <t>GOBDOM-02-01748</t>
  </si>
  <si>
    <t>9ZC98W2</t>
  </si>
  <si>
    <t>GOBDOM-02-01749</t>
  </si>
  <si>
    <t>GVF98W2</t>
  </si>
  <si>
    <t>GOBDOM-02-01750</t>
  </si>
  <si>
    <t>Monitor Dell 24" P2419H</t>
  </si>
  <si>
    <t>9Z2W2Y2</t>
  </si>
  <si>
    <t>GOBDOM-02-01751</t>
  </si>
  <si>
    <t>Impresora Zebra ZC300 P/Carnet</t>
  </si>
  <si>
    <t>C3J193300666</t>
  </si>
  <si>
    <t>GOBDOM-02-01752</t>
  </si>
  <si>
    <t>Impresora Zebra ZD410 P/Etiquetas</t>
  </si>
  <si>
    <t>50J192203419</t>
  </si>
  <si>
    <t>GOBDOM-02-01753</t>
  </si>
  <si>
    <r>
      <t xml:space="preserve">Mouse Dell Optico MS116 UBS Negro. </t>
    </r>
    <r>
      <rPr>
        <b/>
        <sz val="10"/>
        <rFont val="Arial"/>
        <family val="2"/>
      </rPr>
      <t>Cantidad: 20 Unidades</t>
    </r>
    <r>
      <rPr>
        <sz val="11"/>
        <color theme="1"/>
        <rFont val="Calibri"/>
        <family val="2"/>
        <scheme val="minor"/>
      </rPr>
      <t>.</t>
    </r>
  </si>
  <si>
    <t>GOBDOM-02-01754</t>
  </si>
  <si>
    <t>Disco Duro Externo Seagate de 2TB USB 3.0</t>
  </si>
  <si>
    <t>NAB50M96</t>
  </si>
  <si>
    <t>GOBDOM-02-01755</t>
  </si>
  <si>
    <t>NAB50MYD</t>
  </si>
  <si>
    <t>GOBDOM-02-01756</t>
  </si>
  <si>
    <t>Disco Duro Externo Seagate de 1TB USB 3.0</t>
  </si>
  <si>
    <t>NAA9VWMA</t>
  </si>
  <si>
    <t>GOBDOM-02-01757</t>
  </si>
  <si>
    <t>NAA9VY0R</t>
  </si>
  <si>
    <t>GOBDOM-02-01758</t>
  </si>
  <si>
    <t>Router Nexxt Wireless AC1200 Dual Band. 4 Puertos</t>
  </si>
  <si>
    <t>4904U2191205101</t>
  </si>
  <si>
    <t>GOBDOM-02-01759</t>
  </si>
  <si>
    <t>4904U2191205102</t>
  </si>
  <si>
    <t>GOBDOM-02-01760</t>
  </si>
  <si>
    <t>4904U2191205107</t>
  </si>
  <si>
    <t>GOBDOM-02-01761</t>
  </si>
  <si>
    <t>Teclado Apple y Mouse Mágico Inalámbrico.</t>
  </si>
  <si>
    <t>GOBDOM-02-01762</t>
  </si>
  <si>
    <t xml:space="preserve">Puntero Laser Logitech (Control Presentador) R500 2.4 Wireless USB. </t>
  </si>
  <si>
    <t>GOBDOM-02-01763</t>
  </si>
  <si>
    <t>GOBDOM-02-01764</t>
  </si>
  <si>
    <r>
      <t>Cable Argom HDMI de 6 Pies. Cantidad:</t>
    </r>
    <r>
      <rPr>
        <b/>
        <sz val="10"/>
        <rFont val="Arial"/>
        <family val="2"/>
      </rPr>
      <t xml:space="preserve"> 05 Uds</t>
    </r>
    <r>
      <rPr>
        <sz val="11"/>
        <color theme="1"/>
        <rFont val="Calibri"/>
        <family val="2"/>
        <scheme val="minor"/>
      </rPr>
      <t>.</t>
    </r>
  </si>
  <si>
    <t>Lib. No.377-1</t>
  </si>
  <si>
    <t>GOBDOM-02-01765</t>
  </si>
  <si>
    <t>Computador Dell Optiplex 3070 I5. Incluye: Mouse, Teclado y Monitor Dell</t>
  </si>
  <si>
    <t>CPU: D0CQ9Z2                           Monitor: CN-0R16JC-72872-340-F5CM</t>
  </si>
  <si>
    <t>Maria Castillo  (Tatis)            Consultoria Juridica</t>
  </si>
  <si>
    <t>GOBDOM-02-01766</t>
  </si>
  <si>
    <t>CPU: D1CS9Z2                          Monitor: 9HJ64X</t>
  </si>
  <si>
    <t>GOBDOM-02-01767</t>
  </si>
  <si>
    <t>CPU: D0SQ9Z2                          Monitor: CN-0R16JC-72872-340-ELVM</t>
  </si>
  <si>
    <t xml:space="preserve">   Unidad de Adquisiciones</t>
  </si>
  <si>
    <t>GOBDOM-02-01768</t>
  </si>
  <si>
    <t>CPU: D06S9Z2                          Monitor: CN-0R16JC-72872-340-ERFM</t>
  </si>
  <si>
    <t xml:space="preserve">   Tatis Contrera         Coord. Administrativa</t>
  </si>
  <si>
    <t>GOBDOM-02-01769</t>
  </si>
  <si>
    <t>CPU: D20Q9Z2                          Monitor: CN-0N0IVP-64180-23H-1MES</t>
  </si>
  <si>
    <t xml:space="preserve">  Prensa y Rel. Pública   Pedro Canela   </t>
  </si>
  <si>
    <t>GOBDOM-02-01770</t>
  </si>
  <si>
    <t>CPU: D24R9Z2                           Monitor: FWKTJV2</t>
  </si>
  <si>
    <t>GOBDOM-02-01771</t>
  </si>
  <si>
    <t>CPU: D14S9Z2                           Monitor: CN-0R16JC-72872-340-EHMM</t>
  </si>
  <si>
    <t xml:space="preserve">  Coord. Administrativa                Gissel Franco</t>
  </si>
  <si>
    <t>Multicomputos, SRL</t>
  </si>
  <si>
    <t>19-Ago-20</t>
  </si>
  <si>
    <t>Lib-670-1</t>
  </si>
  <si>
    <t>GOBDOM-02-01773</t>
  </si>
  <si>
    <t>Disco Duro 300GB 12G 10K rpm Smart Cartridge</t>
  </si>
  <si>
    <t>872475-B21</t>
  </si>
  <si>
    <t>Productive Business Solutions</t>
  </si>
  <si>
    <t>GOBDOM-02-01774</t>
  </si>
  <si>
    <t>Lib.987-1</t>
  </si>
  <si>
    <t>GOBDOM-02-01775</t>
  </si>
  <si>
    <t>ME1UE2715L3035084</t>
  </si>
  <si>
    <t>Unidad Transportacion</t>
  </si>
  <si>
    <t>Santo Domingo Motors Company, S.A.</t>
  </si>
  <si>
    <t>GOBDOM-02-01776</t>
  </si>
  <si>
    <t>ME1UE271XL3035131</t>
  </si>
  <si>
    <t>Lib. 1185-1</t>
  </si>
  <si>
    <t>GOBDOM-02-01777</t>
  </si>
  <si>
    <t xml:space="preserve">Microsoft Oficce 365 Bussiness Basic </t>
  </si>
  <si>
    <t>AAA-10264</t>
  </si>
  <si>
    <t>Unidad Tecnologia</t>
  </si>
  <si>
    <t>Lib.1185-1</t>
  </si>
  <si>
    <t>GOBDOM-02-01778</t>
  </si>
  <si>
    <t>POWER BI PRO</t>
  </si>
  <si>
    <t>AAA-13173</t>
  </si>
  <si>
    <t>GOBDOM-02-01779</t>
  </si>
  <si>
    <t>MULTI-DOMAIN SSL CERTIFICATE 3 YEARS Covers 4URLS</t>
  </si>
  <si>
    <t>GOBDOM-02-01780</t>
  </si>
  <si>
    <t>FORTIMAIL CLOUD-GATEWAY PREMIUN W. OFFICE 365 API SUPPORT 100 TO 100 MAIL BOXES.</t>
  </si>
  <si>
    <t>FC-10-0VM02-423-02-12</t>
  </si>
  <si>
    <t>Lib.200</t>
  </si>
  <si>
    <t>GOBDOM-02-01781</t>
  </si>
  <si>
    <r>
      <t>LICENCIAS ANTI-VIRUS  SES-SUB-100-499,ENDPOINT SECURITY ENTERPRISE,HYBRID SBSCRIPTION  LICENCES WITH SUPPORT,</t>
    </r>
    <r>
      <rPr>
        <b/>
        <sz val="10"/>
        <rFont val="Arial"/>
        <family val="2"/>
      </rPr>
      <t xml:space="preserve">CANTIDAD: 120 UNIDADES </t>
    </r>
    <r>
      <rPr>
        <sz val="11"/>
        <color theme="1"/>
        <rFont val="Calibri"/>
        <family val="2"/>
        <scheme val="minor"/>
      </rPr>
      <t>SUSCRIPCION CADA 3 AÑOS:VALIDA HASTA  8/03/2024.</t>
    </r>
  </si>
  <si>
    <t xml:space="preserve"> SES-SUB 100-499  DEVICES ,3 YEARS </t>
  </si>
  <si>
    <t>Lib-204</t>
  </si>
  <si>
    <t>GOBDOM-02-01782</t>
  </si>
  <si>
    <t>RENOVACION DE FIREWALL  ADVANCED  MALWARE PROTECTION FORTIGUAD SERVICE WEB FILTRING , SUSCRIPCION ANUAL: VALIDA HASTA 25/01/2021.</t>
  </si>
  <si>
    <t xml:space="preserve">SOPORTE FORTIGATE-200E SKU-QID2260540-1 </t>
  </si>
  <si>
    <t>Lib.287</t>
  </si>
  <si>
    <t>GOBDOM-02-01783</t>
  </si>
  <si>
    <r>
      <t>LICENCIA ADOBE ACROBAT PRO DC FOR TEAMS ALL MULTIPLE PLATORMS</t>
    </r>
    <r>
      <rPr>
        <b/>
        <sz val="10"/>
        <rFont val="Arial"/>
        <family val="2"/>
      </rPr>
      <t>,CANTIDAD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0"/>
        <rFont val="Arial"/>
        <family val="2"/>
      </rPr>
      <t xml:space="preserve">2 UNIDADES </t>
    </r>
  </si>
  <si>
    <t>01L1C00399</t>
  </si>
  <si>
    <t>Compu-Office Dominicana, S.R.L.</t>
  </si>
  <si>
    <t>GOBDOM-02-01784</t>
  </si>
  <si>
    <t>02L1C00332</t>
  </si>
  <si>
    <t>Lib.392</t>
  </si>
  <si>
    <t>GOBDOM-02-01785</t>
  </si>
  <si>
    <t>Computador  Desktop Dell Optiplex 7080 , color Negro incluye (Teclado,Mauses,      Memoria,VGA)</t>
  </si>
  <si>
    <t>8VZQH63</t>
  </si>
  <si>
    <t xml:space="preserve"> Direccion ejecutiva    Gissela Garcia</t>
  </si>
  <si>
    <t>GOBDOM-02-01786</t>
  </si>
  <si>
    <t>Computador  Desktop Dell Optiplex 7080 , color Negro incluye (Teclado,Mauses      Memoria,VGA)</t>
  </si>
  <si>
    <t>8W9H63</t>
  </si>
  <si>
    <t>Polibio Perez Direccion Ejecutiva</t>
  </si>
  <si>
    <t>GOBDOM-02-01787</t>
  </si>
  <si>
    <t>Computador  Desktop Dell Optiplex 7080 , color Negro incluye (Teclado,Mauses,        Memoria,VGA)</t>
  </si>
  <si>
    <t>BVXPH63</t>
  </si>
  <si>
    <t xml:space="preserve"> Oficina de Acceso a la Informacion  Jennifer Marti</t>
  </si>
  <si>
    <t>GOBDOM-02-01788</t>
  </si>
  <si>
    <t>Computador  Desktop Dell Optiplex 7080 , color Negro incluye (Teclado,Mauses,         Memoria,VGA)</t>
  </si>
  <si>
    <t>BVPRH63</t>
  </si>
  <si>
    <t xml:space="preserve">  Prensa y Relaciones Publica Vianco Martinez</t>
  </si>
  <si>
    <t>GOBDOM-02-01789</t>
  </si>
  <si>
    <t>BWONH63</t>
  </si>
  <si>
    <t xml:space="preserve"> Gerencia Tecnica  Patricia Rivera </t>
  </si>
  <si>
    <t>GOBDOM-02-01790</t>
  </si>
  <si>
    <t>Tablet Aipac Pro Apple,12.9 Pulgada/ Disco Duro 1 TB</t>
  </si>
  <si>
    <t>DMPDJ3URNTJ2</t>
  </si>
  <si>
    <t xml:space="preserve">  Director Ejecutivo  Dr. Enrique Gonzalez</t>
  </si>
  <si>
    <t>Lib.319</t>
  </si>
  <si>
    <t>GOBDOM-02-01791</t>
  </si>
  <si>
    <t>Laptop Dell Vostro 3490, color negro</t>
  </si>
  <si>
    <t>CJDHL73</t>
  </si>
  <si>
    <t>Robert Nina Gerencia Tecnica</t>
  </si>
  <si>
    <t>GOBDOM-02-01792</t>
  </si>
  <si>
    <t>8GQFL73</t>
  </si>
  <si>
    <t xml:space="preserve">Direccion Ejecutiva Gerson Dominguez </t>
  </si>
  <si>
    <t>GOBDOM-02-01793</t>
  </si>
  <si>
    <t>7M2GL73</t>
  </si>
  <si>
    <t xml:space="preserve">Unidad de Tecnologia </t>
  </si>
  <si>
    <t>GOBDOM-02-01794</t>
  </si>
  <si>
    <t>Laptop Dell Latitude 3510, color negro</t>
  </si>
  <si>
    <t>H289863</t>
  </si>
  <si>
    <t xml:space="preserve">     Unidad Financiera  Ingrid Melo</t>
  </si>
  <si>
    <t>GOBDOM-02-01795</t>
  </si>
  <si>
    <t>H489863</t>
  </si>
  <si>
    <t xml:space="preserve">Damares Mesa Compra y Contrataciones </t>
  </si>
  <si>
    <t>GOBDOM-02-01796</t>
  </si>
  <si>
    <t>3T79863</t>
  </si>
  <si>
    <t>Rosa Sanchez Gerencia Tecnica</t>
  </si>
  <si>
    <t>GOBDOM-02-01797</t>
  </si>
  <si>
    <t>C089863</t>
  </si>
  <si>
    <t xml:space="preserve"> Coordinacion Administrativo- Financiera Mirian Baez</t>
  </si>
  <si>
    <t>Lib.899-1</t>
  </si>
  <si>
    <t>GOBDOM-02-01798</t>
  </si>
  <si>
    <r>
      <t xml:space="preserve">Licencia Soporte de Backup Exec. 12 Meses. </t>
    </r>
    <r>
      <rPr>
        <b/>
        <sz val="10"/>
        <rFont val="Arial"/>
        <family val="2"/>
      </rPr>
      <t>Cantidad: 2 Licencias</t>
    </r>
    <r>
      <rPr>
        <sz val="11"/>
        <color theme="1"/>
        <rFont val="Calibri"/>
        <family val="2"/>
        <scheme val="minor"/>
      </rPr>
      <t xml:space="preserve"> Renovada.</t>
    </r>
  </si>
  <si>
    <t>20693-M3-23</t>
  </si>
  <si>
    <t>MULTICOMPUTOS     S.R.L.</t>
  </si>
  <si>
    <t>Lib.1430-1</t>
  </si>
  <si>
    <t>Nevera Ejecutiva de 4.5 pies</t>
  </si>
  <si>
    <t>DISTRIBUIDORA MA&amp;S,S.R.L.</t>
  </si>
  <si>
    <t>Lib.1062-1</t>
  </si>
  <si>
    <t>Nevera Ejecutiva Frigidaire de 3.2 Pies , Color:Acero Inoxidable</t>
  </si>
  <si>
    <t>FD9Z61C3649001D2104038206</t>
  </si>
  <si>
    <t>RENEXYS S.R.L</t>
  </si>
  <si>
    <t>Lib.1065</t>
  </si>
  <si>
    <t>GOBDOM-02-01800</t>
  </si>
  <si>
    <r>
      <t>Sillon  Ejecutivo  SY888 en  Pielina,Color:</t>
    </r>
    <r>
      <rPr>
        <b/>
        <sz val="10"/>
        <rFont val="Arial"/>
        <family val="2"/>
      </rPr>
      <t xml:space="preserve">Negro </t>
    </r>
    <r>
      <rPr>
        <sz val="11"/>
        <color theme="1"/>
        <rFont val="Calibri"/>
        <family val="2"/>
        <scheme val="minor"/>
      </rPr>
      <t>Base Metal.</t>
    </r>
  </si>
  <si>
    <t>SE49-30303</t>
  </si>
  <si>
    <t xml:space="preserve"> Control Interno  Gumecindo Cuevas</t>
  </si>
  <si>
    <t>GOBDOM-02-01801</t>
  </si>
  <si>
    <r>
      <t>Sillon  Ejecutivo  SY888 en  Pielina,Color:</t>
    </r>
    <r>
      <rPr>
        <b/>
        <sz val="10"/>
        <rFont val="Arial"/>
        <family val="2"/>
      </rPr>
      <t>Negro,</t>
    </r>
    <r>
      <rPr>
        <sz val="11"/>
        <color theme="1"/>
        <rFont val="Calibri"/>
        <family val="2"/>
        <scheme val="minor"/>
      </rPr>
      <t>Base Metal.</t>
    </r>
  </si>
  <si>
    <t xml:space="preserve">  Sub-Director (conavihsida)  Julio Goner</t>
  </si>
  <si>
    <t>HOSPITAL Y BAEZ CABRAL (SANTIAGO)</t>
  </si>
  <si>
    <t>GOBDOM-02-01802</t>
  </si>
  <si>
    <t>Sofa Marvin  de  2 Persona  Color:Negro</t>
  </si>
  <si>
    <t>SL20-68102</t>
  </si>
  <si>
    <t>GOBDOM-02-01803</t>
  </si>
  <si>
    <r>
      <t>Sofa Marvin  de  3 Persona  Color:</t>
    </r>
    <r>
      <rPr>
        <b/>
        <sz val="10"/>
        <rFont val="Arial"/>
        <family val="2"/>
      </rPr>
      <t>Negro</t>
    </r>
  </si>
  <si>
    <t xml:space="preserve">Sub Director (conavihsida)  Julio Goner  </t>
  </si>
  <si>
    <t>ACTUALIDADES  VD, SRL.</t>
  </si>
  <si>
    <t>Lib.1274-1</t>
  </si>
  <si>
    <t>GOBDOM-02-01804</t>
  </si>
  <si>
    <t>Credenza en  Melanina Color:Haya</t>
  </si>
  <si>
    <t>LEON GONZALEZ SRL</t>
  </si>
  <si>
    <t>Lib.1149-1</t>
  </si>
  <si>
    <t>GOBDOM-02-01805</t>
  </si>
  <si>
    <t>Escritorio  Linea Space de  31 X 55 Tope Cristal, Curvo en el Frente y de  12mm,Con Estructura Metal Blanca .</t>
  </si>
  <si>
    <t xml:space="preserve">Controles Interno  Gumercindo Cuevas </t>
  </si>
  <si>
    <t>GOBDOM-02-01806</t>
  </si>
  <si>
    <t>Escritorio  Retorno  Space de  22 X 40 Rectangular Con  Estructura Metal Blanca y  Tope Cristal de 12 mm.</t>
  </si>
  <si>
    <t>GOBDOM-02-01807</t>
  </si>
  <si>
    <t>Sillas  de  Visitas Erickson, Espaldar Bajo Tapizada en  Piel Sintetica Color Gris .</t>
  </si>
  <si>
    <t>GOBDOM-02-01808</t>
  </si>
  <si>
    <t xml:space="preserve">Sillas  de  Visitas Erickson, Espaldar  Bajo Tapizada en  Piel  Sintetica Color  Gris. </t>
  </si>
  <si>
    <t>Lib.1201-1</t>
  </si>
  <si>
    <t>GOBDOM-02-01814</t>
  </si>
  <si>
    <t>MAQUINA SUMADORA SHARP 2630P</t>
  </si>
  <si>
    <t xml:space="preserve"> Gestion de Servicios de Salud    Maria Rodriguez</t>
  </si>
  <si>
    <t>A&amp;F CENTRO GRAFICO SRL</t>
  </si>
  <si>
    <t>GOBDOM-02-01815</t>
  </si>
  <si>
    <t>GOBDOM-02-01816</t>
  </si>
  <si>
    <t>GOBDOM-02-01817</t>
  </si>
  <si>
    <t>GOBDOM-02-01818</t>
  </si>
  <si>
    <t>GOBDOM-02-01819</t>
  </si>
  <si>
    <t>Lib.1674-1</t>
  </si>
  <si>
    <t>GOBDOM-02-01820</t>
  </si>
  <si>
    <t>COMPUTADORA DELL 3080 I5/10TH GEN DISCO DURO 512G SSD/ MEMORIA 8GB/ MONITOR DELL 22" E2220 /3 AÑOS de GARANTIA</t>
  </si>
  <si>
    <t>GOBDOM-02-01821</t>
  </si>
  <si>
    <t>COMPUTADORA DELL 3080 I5/10TH GEN DISCO DURO 512G SSD/ MEMORIA 8GB/ MONITOR DELL 22" E2220</t>
  </si>
  <si>
    <t>GOBDOM-02-01823</t>
  </si>
  <si>
    <t>GOBDOM-02-01824</t>
  </si>
  <si>
    <t>COMPUTADORA DELL 3080 I5/10TH GEN DISCO DURO 512G SSD/ MEMORIA 8GB/ MONITOR DELL 22" E2220 3 AÑOS de GARANTIA</t>
  </si>
  <si>
    <t>GOBDOM-02-01825</t>
  </si>
  <si>
    <t>GOBDOM-02-01826</t>
  </si>
  <si>
    <t>GOBDOM-02-01827</t>
  </si>
  <si>
    <t>GOBDOM-02-01828</t>
  </si>
  <si>
    <t>GOBDOM-02-01829</t>
  </si>
  <si>
    <t>TELEFONO  GRANSTREAN GXP2130/PROTOCOL / STANDARDS</t>
  </si>
  <si>
    <t>GXP2130</t>
  </si>
  <si>
    <t>GOBDOM-02-01830</t>
  </si>
  <si>
    <t>GOBDOM-02-01831</t>
  </si>
  <si>
    <t>GOBDOM-02-01832</t>
  </si>
  <si>
    <t>GOBDOM-02-01833</t>
  </si>
  <si>
    <t>GOBDOM-02-01834</t>
  </si>
  <si>
    <t xml:space="preserve">TELEFONO  GRANSTREAN GXP1625/ SIP RFC3261/TCP/PROTOCOL / STANDARDS 1 AÑO DE GARANTIA </t>
  </si>
  <si>
    <t>GXP1625</t>
  </si>
  <si>
    <t>GOBDOM-02-01835</t>
  </si>
  <si>
    <t>GOBDOM-02-01836</t>
  </si>
  <si>
    <t>GOBDOM-02-01837</t>
  </si>
  <si>
    <t>GOBDOM-02-01838</t>
  </si>
  <si>
    <t>GOBDOM-02-01839</t>
  </si>
  <si>
    <t>GOBDOM-02-01840</t>
  </si>
  <si>
    <t>GOBDOM-02-01841</t>
  </si>
  <si>
    <t>GOBDOM-02-01842</t>
  </si>
  <si>
    <t>GOBDOM-02-01843</t>
  </si>
  <si>
    <t>GOBDOM-02-01844</t>
  </si>
  <si>
    <t>KIT DE INSTALACION DELUXE LAN  81PC PC QUEST( MALETIN)</t>
  </si>
  <si>
    <t>GOBDOM-02-01845</t>
  </si>
  <si>
    <t xml:space="preserve">ASPIRADORA PORTABLE P/IMP PORTATIL INALAMBRICO </t>
  </si>
  <si>
    <t>GOBDOM-02-01846</t>
  </si>
  <si>
    <t>BATERIA P/LAPTOP XP  13 PULGADA 9350 / 1AÑO DE GARANTIA</t>
  </si>
  <si>
    <t>XP13</t>
  </si>
  <si>
    <t>GOBDOM-02-01847</t>
  </si>
  <si>
    <t>BATERIA P/LAPTOP  DELL INSPIRON  15 "5567  / 1AÑO DE GARANTIA</t>
  </si>
  <si>
    <t>GOBDOM-02-01848</t>
  </si>
  <si>
    <t>GOBDOM-02-01849</t>
  </si>
  <si>
    <t>BATERIA P/LAPTOP DELL LAPTITUDES  14 PULGADA 5480 /1AÑO DE GARANTIA</t>
  </si>
  <si>
    <t>GOBDOM-02-01850</t>
  </si>
  <si>
    <t>BATERIA P/LAPTOP DELL LAPTITUDES  15 PULGADA /E5530 /1AÑO DE GARANTIA</t>
  </si>
  <si>
    <t>E5530</t>
  </si>
  <si>
    <t>TECLADO DELL KB216 USB BLACK ESPAÑOL</t>
  </si>
  <si>
    <t>KB12</t>
  </si>
  <si>
    <t>KB13</t>
  </si>
  <si>
    <t>KB14</t>
  </si>
  <si>
    <t>KB15</t>
  </si>
  <si>
    <t>KB16</t>
  </si>
  <si>
    <t>GOBDOM-02-01866</t>
  </si>
  <si>
    <t xml:space="preserve">DISCO DURO INTERNO 500 GB SSD SATA/8 MESES DE GARANTIA </t>
  </si>
  <si>
    <t>500GB</t>
  </si>
  <si>
    <t>GOBDOM-02-01867</t>
  </si>
  <si>
    <t>GOBDOM-02-01868</t>
  </si>
  <si>
    <t>Lib.1332-1</t>
  </si>
  <si>
    <r>
      <t xml:space="preserve">GOBDOM-02-01809(SIAB)  </t>
    </r>
    <r>
      <rPr>
        <b/>
        <sz val="10"/>
        <rFont val="Arial"/>
        <family val="2"/>
      </rPr>
      <t>GOBDOM-02-01815</t>
    </r>
  </si>
  <si>
    <r>
      <t>Sillon  Ejecutivo,Eddie en  Pielgenuina ,</t>
    </r>
    <r>
      <rPr>
        <b/>
        <sz val="10"/>
        <rFont val="Arial"/>
        <family val="2"/>
      </rPr>
      <t>Color Negro</t>
    </r>
    <r>
      <rPr>
        <sz val="11"/>
        <color theme="1"/>
        <rFont val="Calibri"/>
        <family val="2"/>
        <scheme val="minor"/>
      </rPr>
      <t>, Espardar  Alto.</t>
    </r>
  </si>
  <si>
    <t>ante-Despacho                   Direccion Ejecutiva Polivio Perez</t>
  </si>
  <si>
    <t>Lib.1335-1</t>
  </si>
  <si>
    <r>
      <t xml:space="preserve">GOBDOM-02-01810(SIAB) </t>
    </r>
    <r>
      <rPr>
        <b/>
        <sz val="10"/>
        <rFont val="Arial"/>
        <family val="2"/>
      </rPr>
      <t>GOBDOM-02-01816</t>
    </r>
  </si>
  <si>
    <t>Nevera Ejecutiva Frigidaire de  4.5 Pies  Color: Acero Inoxidable</t>
  </si>
  <si>
    <t>DISTRIBUIDORA MA&amp;S</t>
  </si>
  <si>
    <t>Lib. 1691</t>
  </si>
  <si>
    <t>GOBDOM-02-01942</t>
  </si>
  <si>
    <t>Butaca para Visitantes Respaldo en Malla y Fondo Tapizado en Tela Negra L (Brazos Fijos y Bases Niquelada )</t>
  </si>
  <si>
    <t xml:space="preserve">Gerencia Tecnica </t>
  </si>
  <si>
    <t xml:space="preserve">R&amp;M Ramirez &amp; Mojica </t>
  </si>
  <si>
    <t>Lib. 1692</t>
  </si>
  <si>
    <t>GOBDOM-02-01943</t>
  </si>
  <si>
    <t>Lib.1518-1</t>
  </si>
  <si>
    <t>GOBDOM-02-01811</t>
  </si>
  <si>
    <t>Escritorio Ejecutivo en forma de L,con Linea Plato Tope Color Maple, Laterales y Estructura Metalica en Gris, con Medidas: 63x80x30 y Retorno a la Derecha con Gabinete, con puerta y espacio abierto.</t>
  </si>
  <si>
    <t xml:space="preserve"> Sub-Director (conavihsida)  Julio Goner </t>
  </si>
  <si>
    <t>GOBDOM-02-01812</t>
  </si>
  <si>
    <t>Escritorio ,estacion de trabajo para una persona,linea Plato de space, con medidas de 48x24x30, tope color:gris maple  con panel de privacidad y estructura metalica gris oscuro, Incluye modulo fijo de una gaveta y una puerta.</t>
  </si>
  <si>
    <t>Lib. 1706</t>
  </si>
  <si>
    <t>GOB-02-01876</t>
  </si>
  <si>
    <t>Lapto Dell Latitude 3520- tipo B 15.6</t>
  </si>
  <si>
    <t>CECOMSA, S.R.L.</t>
  </si>
  <si>
    <t>GOB-02-01877</t>
  </si>
  <si>
    <t>Lapto Dell Latitude 3520- tipo B 15.7</t>
  </si>
  <si>
    <t>GOB-02-01878</t>
  </si>
  <si>
    <t>Lapto Dell Latitude 3520- tipo B 15.8</t>
  </si>
  <si>
    <t>GOB-02-01879</t>
  </si>
  <si>
    <t>Lapto Dell Latitude 3520- tipo B 15.9</t>
  </si>
  <si>
    <t>GOB-02-01880</t>
  </si>
  <si>
    <t>Lapto Dell Latitude 3520- tipo B 15.10</t>
  </si>
  <si>
    <t>GOB-02-01881</t>
  </si>
  <si>
    <t>Lapto Dell Latitude 3520- tipo B 15.11</t>
  </si>
  <si>
    <t>GOB-02-01882</t>
  </si>
  <si>
    <t>Impresora Multifuncional HP Laserjet Enterprise                         M578dn Mfp</t>
  </si>
  <si>
    <t>GOB-02-01883</t>
  </si>
  <si>
    <t>GOB-02-01884</t>
  </si>
  <si>
    <t>Telefono Fijo tipo A -IP empresarial</t>
  </si>
  <si>
    <t>GOB-02-01885</t>
  </si>
  <si>
    <t>Cable de Internet A-Cable Netsys P/UTP CAT-6 Gris</t>
  </si>
  <si>
    <t>GOB-02-01886</t>
  </si>
  <si>
    <t xml:space="preserve">Cable de Internet B-Patch Cord nexxt 10FT Cat-6 </t>
  </si>
  <si>
    <t>GOB-02-01887</t>
  </si>
  <si>
    <t>GOB-02-01888</t>
  </si>
  <si>
    <t>GOB-02-01889</t>
  </si>
  <si>
    <t>GOB-02-01890</t>
  </si>
  <si>
    <t>GOB-02-01891</t>
  </si>
  <si>
    <t>GOB-02-01892</t>
  </si>
  <si>
    <t>GOB-02-01893</t>
  </si>
  <si>
    <t>GOB-02-01894</t>
  </si>
  <si>
    <t>GOB-02-01895</t>
  </si>
  <si>
    <t>GOB-02-01896</t>
  </si>
  <si>
    <t>GOB-02-01897</t>
  </si>
  <si>
    <t>GOB-02-01898</t>
  </si>
  <si>
    <t>GOB-02-01899</t>
  </si>
  <si>
    <t>GOB-02-01900</t>
  </si>
  <si>
    <t>GOB-02-01901</t>
  </si>
  <si>
    <t>GOB-02-01902</t>
  </si>
  <si>
    <t>GOB-02-01903</t>
  </si>
  <si>
    <t>GOB-02-01904</t>
  </si>
  <si>
    <t>GOB-02-01905</t>
  </si>
  <si>
    <t>GOB-02-01906</t>
  </si>
  <si>
    <t>Cable de internet C- Patch Cord Cat-6 15FT</t>
  </si>
  <si>
    <t>GOB-02-01907</t>
  </si>
  <si>
    <t>GOB-02-01908</t>
  </si>
  <si>
    <t>GOB-02-01909</t>
  </si>
  <si>
    <t>GOB-02-01910</t>
  </si>
  <si>
    <t>GOB-02-01911</t>
  </si>
  <si>
    <t>GOB-02-01912</t>
  </si>
  <si>
    <t>GOB-02-01913</t>
  </si>
  <si>
    <t>GOB-02-01914</t>
  </si>
  <si>
    <t>GOB-02-01915</t>
  </si>
  <si>
    <t>GOB-02-01916</t>
  </si>
  <si>
    <t>GOB-02-01917</t>
  </si>
  <si>
    <t>GOB-02-01918</t>
  </si>
  <si>
    <t>GOB-02-01919</t>
  </si>
  <si>
    <t>GOB-02-01920</t>
  </si>
  <si>
    <t>GOB-02-01921</t>
  </si>
  <si>
    <t>GOB-02-01922</t>
  </si>
  <si>
    <t>GOB-02-01923</t>
  </si>
  <si>
    <t>GOB-02-01924</t>
  </si>
  <si>
    <t>GOB-02-01925</t>
  </si>
  <si>
    <t>GOB-02-01926</t>
  </si>
  <si>
    <t xml:space="preserve">Escaner de Codigo de Barras -Escaner de Mano zebra </t>
  </si>
  <si>
    <t>GOB-02-01928</t>
  </si>
  <si>
    <t>GOB-02-01929</t>
  </si>
  <si>
    <t>GOB-02-01930</t>
  </si>
  <si>
    <t>Auriculares para PC - Headset Logitech</t>
  </si>
  <si>
    <t>GOB-02-01931</t>
  </si>
  <si>
    <t>GOB-02-01932</t>
  </si>
  <si>
    <t>GOB-02-01933</t>
  </si>
  <si>
    <t>GOB-02-01934</t>
  </si>
  <si>
    <t>GOB-02-01935</t>
  </si>
  <si>
    <t>GOB-02-01936</t>
  </si>
  <si>
    <t>GOB-02-01937</t>
  </si>
  <si>
    <t>GOB-02-01938</t>
  </si>
  <si>
    <t>GOB-02-01939</t>
  </si>
  <si>
    <t>GOB-02-01940</t>
  </si>
  <si>
    <t>Bocina Bluetooth 6.5 MYO</t>
  </si>
  <si>
    <t>GOB-02-01941</t>
  </si>
  <si>
    <t>Barra de Sonido Bluetooth Xtech Xts-810</t>
  </si>
  <si>
    <t>Lib.1204-1</t>
  </si>
  <si>
    <t>Sofa de Dos Personas, color Negro en Piel con Brazos y Patas Cromados (Hispanio)</t>
  </si>
  <si>
    <t xml:space="preserve">Sala de Recepcion </t>
  </si>
  <si>
    <t>Almacenes Regionales de Medicamentos.</t>
  </si>
  <si>
    <r>
      <rPr>
        <b/>
        <sz val="11"/>
        <color indexed="10"/>
        <rFont val="Arial"/>
        <family val="2"/>
      </rPr>
      <t xml:space="preserve">       Nota_2:</t>
    </r>
    <r>
      <rPr>
        <b/>
        <sz val="11"/>
        <color indexed="18"/>
        <rFont val="Arial"/>
        <family val="2"/>
      </rPr>
      <t xml:space="preserve"> </t>
    </r>
    <r>
      <rPr>
        <b/>
        <sz val="10"/>
        <color indexed="18"/>
        <rFont val="Arial"/>
        <family val="2"/>
      </rPr>
      <t>En el año 2016 no hubo compra de activos.</t>
    </r>
  </si>
  <si>
    <t xml:space="preserve">Lic. Gumercindo Cueva </t>
  </si>
  <si>
    <t>Transf. 51-22</t>
  </si>
  <si>
    <t>Computadora Dell Optiplex 3080, 4 GB (Incluye Mause y teclado )</t>
  </si>
  <si>
    <t>TECNOLOGY SUPLY S.R.L</t>
  </si>
  <si>
    <t>Silla Ejecutiva MYO,Asiento y Respaldo de Maya Transpirable.</t>
  </si>
  <si>
    <t>Nevera Tecnomaster de 8 pie Cubico,Modelo H028w</t>
  </si>
  <si>
    <t xml:space="preserve">Horno Microhonda </t>
  </si>
  <si>
    <t>FM05-01875</t>
  </si>
  <si>
    <t>UPS APC 2000VA/1600W, Input 120V</t>
  </si>
  <si>
    <t>FM05-01876</t>
  </si>
  <si>
    <t>FM05-01877</t>
  </si>
  <si>
    <t>Bateria Unipower para UPS,12V/9AMP.</t>
  </si>
  <si>
    <t>FM05-01878</t>
  </si>
  <si>
    <t>FM05-01879</t>
  </si>
  <si>
    <t>FM05-01880</t>
  </si>
  <si>
    <t>FM05-01881</t>
  </si>
  <si>
    <t>FM05-01882</t>
  </si>
  <si>
    <t>FM05-01883</t>
  </si>
  <si>
    <t>FM05-01884</t>
  </si>
  <si>
    <t>FM05-01885</t>
  </si>
  <si>
    <t>FM05-01886</t>
  </si>
  <si>
    <t>FM05-01887</t>
  </si>
  <si>
    <t>FM05-01888</t>
  </si>
  <si>
    <t>FM05-01889</t>
  </si>
  <si>
    <t>FM05-01890</t>
  </si>
  <si>
    <t>FM05-01891</t>
  </si>
  <si>
    <t>FM05-01892</t>
  </si>
  <si>
    <t>FM05-01893</t>
  </si>
  <si>
    <t xml:space="preserve">Aire Acondicionado de 18000 BTU/Inverter </t>
  </si>
  <si>
    <t>FM05-01894</t>
  </si>
  <si>
    <t>FM05-01895</t>
  </si>
  <si>
    <t>FM05-01896</t>
  </si>
  <si>
    <t>FM05-01897</t>
  </si>
  <si>
    <t>FM05-01898</t>
  </si>
  <si>
    <t>FM05-01899</t>
  </si>
  <si>
    <t>Escalera de 3 Peldaño Metalica y Plegable.</t>
  </si>
  <si>
    <t>FM05-01900</t>
  </si>
  <si>
    <t>FM2022 no registrado en  SIAB-01861</t>
  </si>
  <si>
    <t>zafacones  plastico Rubbermaid, color amarillo con tapa negro .</t>
  </si>
  <si>
    <t>Ref: 9w2700 de 50 gl.189L</t>
  </si>
  <si>
    <t>FM2022 no registrado en SIAB-01862</t>
  </si>
  <si>
    <t xml:space="preserve">zafacones  plastico Rubbermaid, color amarillo con tapa negro. </t>
  </si>
  <si>
    <t>FM2022 no registrado en SIAB-05-01863</t>
  </si>
  <si>
    <t>FM2022 no registrado en SIAB-01864</t>
  </si>
  <si>
    <t xml:space="preserve">Luces para exterior de movimiento, panel Led superficie redondo. </t>
  </si>
  <si>
    <t>FM2022 no registrado en SIAB-01865</t>
  </si>
  <si>
    <t>FM2022 no registrado en SIAB-05-01866</t>
  </si>
  <si>
    <t>FM2022 no registrado en SIAB-01867</t>
  </si>
  <si>
    <t>FM2022 no registrado en SIAB-01868</t>
  </si>
  <si>
    <t>FM2022 no registrado en SIAB-05-01869</t>
  </si>
  <si>
    <t>FM2022 no registrado en SIAB-01870</t>
  </si>
  <si>
    <t xml:space="preserve">   Tarima de Plastico/Pallet Cantidad:15 </t>
  </si>
  <si>
    <t>120 x 100 x 14 CM           (unidad:  $2950)</t>
  </si>
  <si>
    <t>FM05-01902</t>
  </si>
  <si>
    <t>Lampara de Techo Colgante,Led de 150w</t>
  </si>
  <si>
    <t>FM05-01903</t>
  </si>
  <si>
    <t>Lampara de Techo Colgante Led de 150w</t>
  </si>
  <si>
    <t>FM05-01904</t>
  </si>
  <si>
    <t>Lampara de Techo Colgante ,Led de 150w</t>
  </si>
  <si>
    <t>FM05-01905</t>
  </si>
  <si>
    <t>FM05-01906</t>
  </si>
  <si>
    <t>FM05-01907</t>
  </si>
  <si>
    <t>FM05-01908</t>
  </si>
  <si>
    <t>FM05-01909</t>
  </si>
  <si>
    <t>FM05-01910</t>
  </si>
  <si>
    <t>FM05-01911</t>
  </si>
  <si>
    <t>FM05-01912</t>
  </si>
  <si>
    <t xml:space="preserve">Extractores de Aire para Nave Industrial </t>
  </si>
  <si>
    <t>FM05-01913</t>
  </si>
  <si>
    <t>FM05-01914</t>
  </si>
  <si>
    <t>Lamparas para la Iluminacion, Led Con Difusor Colgante de 3 tubos.</t>
  </si>
  <si>
    <t>FM05-01915</t>
  </si>
  <si>
    <t>FM05-01916</t>
  </si>
  <si>
    <t>FM05-01917</t>
  </si>
  <si>
    <t>FM05-01918</t>
  </si>
  <si>
    <t>FM05-01919</t>
  </si>
  <si>
    <t>FM05-01920</t>
  </si>
  <si>
    <t>FM05-01921</t>
  </si>
  <si>
    <t>FM05-01922</t>
  </si>
  <si>
    <t>FM05-01923</t>
  </si>
  <si>
    <t>FM05-01924</t>
  </si>
  <si>
    <t>FM05-01925</t>
  </si>
  <si>
    <t>FM05-01926</t>
  </si>
  <si>
    <t xml:space="preserve">Estante Metalico de 5 Bandeja Azul/Mamey con Refuerzo de Bandeja Incluido </t>
  </si>
  <si>
    <t>FM05-01927</t>
  </si>
  <si>
    <t>FM05-01928</t>
  </si>
  <si>
    <t>FM05-01929</t>
  </si>
  <si>
    <t>FM05-01930</t>
  </si>
  <si>
    <t>FM05-01931</t>
  </si>
  <si>
    <t>FM05-01932</t>
  </si>
  <si>
    <t>FM05-01933</t>
  </si>
  <si>
    <t>FM05-01934</t>
  </si>
  <si>
    <t xml:space="preserve">Lokers Metalico de 8 Casilleros,Criollo </t>
  </si>
  <si>
    <t>FM05-01935</t>
  </si>
  <si>
    <t xml:space="preserve">Mesa Rectangular 72x30 plegable,Tope Polietileno </t>
  </si>
  <si>
    <t>FM05-01936</t>
  </si>
  <si>
    <t>FM05-01937</t>
  </si>
  <si>
    <t>FM05-01938</t>
  </si>
  <si>
    <t xml:space="preserve">Sillas con Brazos,Coleman, Azul Plegale </t>
  </si>
  <si>
    <t>FM05-01939</t>
  </si>
  <si>
    <t>FM05-01940</t>
  </si>
  <si>
    <t>FM05-01941</t>
  </si>
  <si>
    <t>FM05-01942</t>
  </si>
  <si>
    <t>FM05-01943</t>
  </si>
  <si>
    <t>FM05-01944</t>
  </si>
  <si>
    <t>FM05-01945</t>
  </si>
  <si>
    <t>FM05-01946</t>
  </si>
  <si>
    <t>FM05-01947</t>
  </si>
  <si>
    <t>FM05-01948</t>
  </si>
  <si>
    <t>FM05-01949</t>
  </si>
  <si>
    <t>Extintores de Fuego de 10 Libras,ABC</t>
  </si>
  <si>
    <t>FM05-01950</t>
  </si>
  <si>
    <t>FM05-01951</t>
  </si>
  <si>
    <t>FM05-01952</t>
  </si>
  <si>
    <t>SRS Cibao Occidental VII   (Director Ramon Antonio     Rodriguez Almonte)</t>
  </si>
  <si>
    <t>SRS El VALLE                (Director: Cesar Benzant              Quiterio)</t>
  </si>
  <si>
    <t>SRS NORCENTRAL       (Director: Manuel Jacinto Lora Perello)</t>
  </si>
  <si>
    <t>SRS NORCENTRAL     (Director: Manuel Jacinto Lora Perello)</t>
  </si>
  <si>
    <t>SRS NORCENTRAL          (Director: Manuel Jacinto Lora Perello)</t>
  </si>
  <si>
    <t>SRS Enriquillo               (Director: Wirkin Manuel Felix Perez)</t>
  </si>
  <si>
    <t>SRS VALDESIA               (Director Marcelino Enrique Fulgencio Guzman)</t>
  </si>
  <si>
    <t xml:space="preserve">Barahona </t>
  </si>
  <si>
    <t xml:space="preserve">San Juan </t>
  </si>
  <si>
    <t xml:space="preserve">San Cristobal </t>
  </si>
  <si>
    <t>Centro especializado de Atencion de salud Juan XXIII</t>
  </si>
  <si>
    <t xml:space="preserve">Hospital Nuestra  Sra. De la Altagracia </t>
  </si>
  <si>
    <t xml:space="preserve">Centro Diagnostico y Atencion Primaria de Anamuya </t>
  </si>
  <si>
    <t>CPN Veron                  (Centro de Primer nivel de Atencion)</t>
  </si>
  <si>
    <t xml:space="preserve">Higuey </t>
  </si>
  <si>
    <t xml:space="preserve">Hospital Regional Universitario Jose Maria Cabral y Baez </t>
  </si>
  <si>
    <t>CPN Bella Vista              (Centro de Primer nivel de Atencion)</t>
  </si>
  <si>
    <t>Motoclicleta YAMAHA AñO 2020 Color Marron placa: K1892988</t>
  </si>
  <si>
    <t>Motoclicleta YAMAHA AñO 2020 Color Marron plca: K1892989</t>
  </si>
  <si>
    <t>CK.27820</t>
  </si>
  <si>
    <t>FM05-02326</t>
  </si>
  <si>
    <t xml:space="preserve">Anaqueles Metálicos de 5 Tramos </t>
  </si>
  <si>
    <t>Abanico de pared Westinghouse</t>
  </si>
  <si>
    <t xml:space="preserve">Centro de Diagnostico y Atencion Primaria de Anamuya </t>
  </si>
  <si>
    <t>Aires Acondicionado Samsung 12,000 BTU</t>
  </si>
  <si>
    <t>Balanza Metalica Rice Lake</t>
  </si>
  <si>
    <t xml:space="preserve">Bebedero Nedoca (Botellon Escondido </t>
  </si>
  <si>
    <t>Camilla Fija Duromed</t>
  </si>
  <si>
    <t>Base para TV</t>
  </si>
  <si>
    <t>Escritorio ZK Consultorio Clinico 50x100</t>
  </si>
  <si>
    <t>Escritorio ZK Consultorio Clinico 50x101</t>
  </si>
  <si>
    <t>Escritorio ZK Consultorio Clinico 50x102</t>
  </si>
  <si>
    <t>Escritorio ZK Consultorio Clinico 50x103</t>
  </si>
  <si>
    <t>Lavamanos  de Pedestal  Bellari</t>
  </si>
  <si>
    <t xml:space="preserve">Silla Metalica Giratorio Rodable </t>
  </si>
  <si>
    <t xml:space="preserve">Televisor RCA 43 Pulgadas Smart  </t>
  </si>
  <si>
    <t>Vitrina Metalica Para Consultorio (Duromed)</t>
  </si>
  <si>
    <t xml:space="preserve">Direccion de Medicamentos e insumos del Servicio Nacional de Salud </t>
  </si>
  <si>
    <t>GOBDOM-1851</t>
  </si>
  <si>
    <t>GOBDOM-1852</t>
  </si>
  <si>
    <t>GOBDOM-1853</t>
  </si>
  <si>
    <t>GOBDOM-1854</t>
  </si>
  <si>
    <t>GOBDOM-1855</t>
  </si>
  <si>
    <t>GOBDOM-1856</t>
  </si>
  <si>
    <t>GOBDOM-1857</t>
  </si>
  <si>
    <t>GOBDOM-1858</t>
  </si>
  <si>
    <t>GOBDOM-1859</t>
  </si>
  <si>
    <t>GOBDOM-1860</t>
  </si>
  <si>
    <t>GOBDOM-1861</t>
  </si>
  <si>
    <t>GOBDOM-1862</t>
  </si>
  <si>
    <t>GOBDOM-1863</t>
  </si>
  <si>
    <t>GOBDOM-1864</t>
  </si>
  <si>
    <t>GOBDOM-1865</t>
  </si>
  <si>
    <t>GOBDOM-1866</t>
  </si>
  <si>
    <t>GOBDOM-1867</t>
  </si>
  <si>
    <t>GOBDOM-1868</t>
  </si>
  <si>
    <t>GOBDOM-1869</t>
  </si>
  <si>
    <t>GOBDOM-1870</t>
  </si>
  <si>
    <t>GOBDOM-1871</t>
  </si>
  <si>
    <t>GOBDOM-1872</t>
  </si>
  <si>
    <t>GOBDOM-1873</t>
  </si>
  <si>
    <t>GOBDOM-1874</t>
  </si>
  <si>
    <t>GOBDOM-1875</t>
  </si>
  <si>
    <t>CK.27821</t>
  </si>
  <si>
    <t>FM05-02327</t>
  </si>
  <si>
    <t>FM05-02328</t>
  </si>
  <si>
    <t>FM05-02329</t>
  </si>
  <si>
    <t>FM05-02330</t>
  </si>
  <si>
    <t>FM05-02331</t>
  </si>
  <si>
    <t>FM05-02332</t>
  </si>
  <si>
    <t>FM05-02333</t>
  </si>
  <si>
    <t>FM05-02334</t>
  </si>
  <si>
    <t>FM05-02335</t>
  </si>
  <si>
    <t>FM05-02336</t>
  </si>
  <si>
    <t>FM05-02337</t>
  </si>
  <si>
    <t>FM05-02338</t>
  </si>
  <si>
    <t>FM05-02339</t>
  </si>
  <si>
    <t>FM05-02340</t>
  </si>
  <si>
    <t>FM05-02341</t>
  </si>
  <si>
    <t>FM05-02342</t>
  </si>
  <si>
    <t>FM05-02343</t>
  </si>
  <si>
    <t>FM05-02344</t>
  </si>
  <si>
    <t>FM05-02345</t>
  </si>
  <si>
    <t>FM05-02346</t>
  </si>
  <si>
    <t>FM05-02347</t>
  </si>
  <si>
    <t>FM05-02348</t>
  </si>
  <si>
    <t>FM05-02349</t>
  </si>
  <si>
    <t>FM05-02350</t>
  </si>
  <si>
    <t>FM05-02351</t>
  </si>
  <si>
    <t>FM05-02352</t>
  </si>
  <si>
    <t>FM05-02353</t>
  </si>
  <si>
    <t>FM05-02354</t>
  </si>
  <si>
    <t>FM05-02355</t>
  </si>
  <si>
    <t>FM05-02356</t>
  </si>
  <si>
    <t>FM05-02357</t>
  </si>
  <si>
    <t>FM05-02358</t>
  </si>
  <si>
    <t>FM05-02359</t>
  </si>
  <si>
    <t>FM05-02360</t>
  </si>
  <si>
    <t>FM05-02361</t>
  </si>
  <si>
    <t>FM05-02362</t>
  </si>
  <si>
    <t>FM05-02363</t>
  </si>
  <si>
    <t>FM05-02364</t>
  </si>
  <si>
    <t>FM05-02365</t>
  </si>
  <si>
    <t>FM05-02366</t>
  </si>
  <si>
    <t>FM05-02367</t>
  </si>
  <si>
    <t>FM05-02368</t>
  </si>
  <si>
    <t>FM05-02369</t>
  </si>
  <si>
    <t>FM05-02370</t>
  </si>
  <si>
    <t>FM05-02371</t>
  </si>
  <si>
    <t>FM05-02372</t>
  </si>
  <si>
    <t>FM05-02373</t>
  </si>
  <si>
    <t>FM05-02374</t>
  </si>
  <si>
    <t>FM05-02375</t>
  </si>
  <si>
    <t>FM05-02376</t>
  </si>
  <si>
    <t>FM05-02377</t>
  </si>
  <si>
    <t>FM05-02378</t>
  </si>
  <si>
    <t>FM05-02379</t>
  </si>
  <si>
    <t>FM05-02380</t>
  </si>
  <si>
    <t>FM05-02381</t>
  </si>
  <si>
    <t>FM05-02382</t>
  </si>
  <si>
    <t>FM05-02383</t>
  </si>
  <si>
    <t>FM05-02384</t>
  </si>
  <si>
    <t>FM05-02385</t>
  </si>
  <si>
    <t>FM05-02386</t>
  </si>
  <si>
    <t>FM05-02387</t>
  </si>
  <si>
    <t>FM05-02388</t>
  </si>
  <si>
    <t>FM05-02389</t>
  </si>
  <si>
    <t>FM05-02390</t>
  </si>
  <si>
    <t>FM05-02391</t>
  </si>
  <si>
    <t>FM05-02392</t>
  </si>
  <si>
    <t>FM05-02393</t>
  </si>
  <si>
    <t>FM05-02394</t>
  </si>
  <si>
    <t>FM05-02395</t>
  </si>
  <si>
    <t>FM05-02396</t>
  </si>
  <si>
    <t>FM05-02397</t>
  </si>
  <si>
    <t>FM05-02398</t>
  </si>
  <si>
    <t>FM05-02399</t>
  </si>
  <si>
    <t>FM05-02400</t>
  </si>
  <si>
    <t>FM05-02401</t>
  </si>
  <si>
    <t>FM05-02402</t>
  </si>
  <si>
    <t>FM05-02403</t>
  </si>
  <si>
    <t>FM05-02404</t>
  </si>
  <si>
    <t>FM05-02405</t>
  </si>
  <si>
    <t>FM05-02406</t>
  </si>
  <si>
    <t>FM05-02407</t>
  </si>
  <si>
    <t>FM05-02408</t>
  </si>
  <si>
    <t>FM05-02409</t>
  </si>
  <si>
    <t xml:space="preserve">Importadora  Y Suplidores VPS,S.R.L </t>
  </si>
  <si>
    <t>FM05-02410</t>
  </si>
  <si>
    <t>CK.27816</t>
  </si>
  <si>
    <t>FM05-11</t>
  </si>
  <si>
    <t>FM05-12</t>
  </si>
  <si>
    <t>FM05-13</t>
  </si>
  <si>
    <t>FM05-14</t>
  </si>
  <si>
    <t>FM05-15</t>
  </si>
  <si>
    <t xml:space="preserve">Furgonetas Belingo VU Larga Color: Blanco/ Marca:Citroen </t>
  </si>
  <si>
    <t>VR7E9HPAPJ519510</t>
  </si>
  <si>
    <t>VR7E9HPAPJ515272</t>
  </si>
  <si>
    <t>VR7E9HPAPJ515273</t>
  </si>
  <si>
    <t>VR7E9HPAPJ515274</t>
  </si>
  <si>
    <t>VR7E9HPAPJ515275</t>
  </si>
  <si>
    <t>Parqueo de Conavihsida</t>
  </si>
  <si>
    <t>Almacen del SNS (Fraile)</t>
  </si>
  <si>
    <t>S0B2214N03827</t>
  </si>
  <si>
    <t>Junior Reyes            Supervisor Almacen y Suministros SNS</t>
  </si>
  <si>
    <t>FM05-0001</t>
  </si>
  <si>
    <t>FM05-0002</t>
  </si>
  <si>
    <t>FM05-0003</t>
  </si>
  <si>
    <t>FM05-0004</t>
  </si>
  <si>
    <t>FM05-0005</t>
  </si>
  <si>
    <t>FM05-0006</t>
  </si>
  <si>
    <t>FM05-0007</t>
  </si>
  <si>
    <t>FM05-0008</t>
  </si>
  <si>
    <t>FM05-0009</t>
  </si>
  <si>
    <t>FM05-0011</t>
  </si>
  <si>
    <t>FM05-0012</t>
  </si>
  <si>
    <t>FM05-0013</t>
  </si>
  <si>
    <t>FM05-0010</t>
  </si>
  <si>
    <t>CK.27817</t>
  </si>
  <si>
    <t>Impresora Toshiba  E-Studio 2520AC Digital MFP</t>
  </si>
  <si>
    <t>CSJM21121</t>
  </si>
  <si>
    <t>CSJM19728</t>
  </si>
  <si>
    <t xml:space="preserve">Salud Publica </t>
  </si>
  <si>
    <t>Conavihsida</t>
  </si>
  <si>
    <t xml:space="preserve">UTI </t>
  </si>
  <si>
    <t>CK.27826</t>
  </si>
  <si>
    <t>CSJ321151</t>
  </si>
  <si>
    <t>GRUPO AVANT</t>
  </si>
  <si>
    <t>DISTOSA SRL</t>
  </si>
  <si>
    <t>Ck.27857</t>
  </si>
  <si>
    <t xml:space="preserve">Laptop Dell Precision 7670 Tipo B-16 " Black , Incluye Teclado y Bulto </t>
  </si>
  <si>
    <t xml:space="preserve">Monitor Flat Dell de 27 Pulgadas </t>
  </si>
  <si>
    <t xml:space="preserve">Scaner de Mesa Fujitsu Scansnap IX1600 Duplex/USB/Wireless </t>
  </si>
  <si>
    <t>Monitor Flat Dell de 27 Pulgadas LCD</t>
  </si>
  <si>
    <t xml:space="preserve">SRS Metropolitano </t>
  </si>
  <si>
    <t xml:space="preserve">SRS Cibao Central </t>
  </si>
  <si>
    <t>Santo Domingo D.N</t>
  </si>
  <si>
    <t>Lib.505-1</t>
  </si>
  <si>
    <t>Sillon Gerencial</t>
  </si>
  <si>
    <t>GOBDOM-02-01944</t>
  </si>
  <si>
    <t>GOBDOM-02-01945</t>
  </si>
  <si>
    <t>GOBDOM-02-01946</t>
  </si>
  <si>
    <t>GOBDOM-02-01947</t>
  </si>
  <si>
    <t>GOBDOM-02-01948</t>
  </si>
  <si>
    <t>GOBDOM-02-01949</t>
  </si>
  <si>
    <t>GOBDOM-02-01950</t>
  </si>
  <si>
    <t>GOBDOM-02-01951</t>
  </si>
  <si>
    <t>GOBDOM-02-01952</t>
  </si>
  <si>
    <t>GOBDOM-02-01953</t>
  </si>
  <si>
    <t>GOBDOM-02-01954</t>
  </si>
  <si>
    <t>GOBDOM-02-01955</t>
  </si>
  <si>
    <t>GOBDOM-02-01956</t>
  </si>
  <si>
    <t>GOBDOM-02-01957</t>
  </si>
  <si>
    <t>GOBDOM-02-01958</t>
  </si>
  <si>
    <t>GOBDOM-02-01959</t>
  </si>
  <si>
    <t>GOBDOM-02-01960</t>
  </si>
  <si>
    <t>GOBDOM-02-01961</t>
  </si>
  <si>
    <t>GOBDOM-02-01962</t>
  </si>
  <si>
    <t>GOBDOM-02-01963</t>
  </si>
  <si>
    <t>GOBDOM-02-01964</t>
  </si>
  <si>
    <t>GOBDOM-02-01965</t>
  </si>
  <si>
    <t>GOBDOM-02-01966</t>
  </si>
  <si>
    <t>GOBDOM-02-01967</t>
  </si>
  <si>
    <t>GOBDOM-02-01968</t>
  </si>
  <si>
    <t>GOBDOM-02-01969</t>
  </si>
  <si>
    <t>GOBDOM-02-01970</t>
  </si>
  <si>
    <t>GOBDOM-02-01971</t>
  </si>
  <si>
    <t>GOBDOM-02-01972</t>
  </si>
  <si>
    <t>GOBDOM-02-01973</t>
  </si>
  <si>
    <t>GOBDOM-02-01974</t>
  </si>
  <si>
    <t>GOBDOM-02-01975</t>
  </si>
  <si>
    <t>GOBDOM-02-01976</t>
  </si>
  <si>
    <t>GOBDOM-02-01977</t>
  </si>
  <si>
    <t>GOBDOM-02-01978</t>
  </si>
  <si>
    <t>GOBDOM-02-01979</t>
  </si>
  <si>
    <t>GOBDOM-02-01980</t>
  </si>
  <si>
    <t>GOBDOM-02-01981</t>
  </si>
  <si>
    <t>GOBDOM-02-01982</t>
  </si>
  <si>
    <t>GOBDOM-02-01983</t>
  </si>
  <si>
    <t>GOBDOM-02-01984</t>
  </si>
  <si>
    <t>GOBDOM-02-01985</t>
  </si>
  <si>
    <t>GOBDOM-02-01986</t>
  </si>
  <si>
    <t>GOBDOM-02-01987</t>
  </si>
  <si>
    <t>GOBDOM-02-01988</t>
  </si>
  <si>
    <t>GOBDOM-02-01989</t>
  </si>
  <si>
    <t>GOBDOM-02-01990</t>
  </si>
  <si>
    <t>GOBDOM-02-01991</t>
  </si>
  <si>
    <t xml:space="preserve">Sillon Ejecutivo </t>
  </si>
  <si>
    <t xml:space="preserve">Sillon Tecnico </t>
  </si>
  <si>
    <t xml:space="preserve">Archivo Metal de 3 Cajones Modulares, Color:Gris  </t>
  </si>
  <si>
    <t xml:space="preserve">Archivo de Metal de 4 Cajones </t>
  </si>
  <si>
    <t>Total Año 2023</t>
  </si>
  <si>
    <t>Total año 2023</t>
  </si>
  <si>
    <t xml:space="preserve">Fecha Adquisicion </t>
  </si>
  <si>
    <t xml:space="preserve">Fecha de Registro </t>
  </si>
  <si>
    <r>
      <t xml:space="preserve">GOBDOM-0201813(SIAB) </t>
    </r>
    <r>
      <rPr>
        <b/>
        <sz val="10"/>
        <rFont val="Arial"/>
        <family val="2"/>
      </rPr>
      <t>GOBDOM-02-01819</t>
    </r>
  </si>
  <si>
    <t>GOBDOM-02-01799</t>
  </si>
  <si>
    <t>Ck.27807</t>
  </si>
  <si>
    <t>UPS SRT de APC - SRT10KRMXLT SMART 1000 VA,RM 208,6U</t>
  </si>
  <si>
    <t>AS2201271919</t>
  </si>
  <si>
    <t xml:space="preserve">CRITIFCAL POWER </t>
  </si>
  <si>
    <t xml:space="preserve">UPS SRT de APC - SRT10KRMXLT SMART/ TRANSFORMADOR </t>
  </si>
  <si>
    <t>7S2218L00337</t>
  </si>
  <si>
    <t>Ck.27918</t>
  </si>
  <si>
    <t>YHXQ25XWVH</t>
  </si>
  <si>
    <t>NVQNC4JWNN</t>
  </si>
  <si>
    <t xml:space="preserve">LAPTOP IPAD (Macbook) Pro Silver Tipo A "16" Color:  Gris </t>
  </si>
  <si>
    <t>ML7T6XCLK2</t>
  </si>
  <si>
    <t>LAPTOP IPAD (Macbook) Pro ,Color:Silver Tipo A "16"</t>
  </si>
  <si>
    <t>LAPTOP IPAD (Macbook)  AIR Midnight Tipo B 13.6</t>
  </si>
  <si>
    <t>DM70JMGKCF</t>
  </si>
  <si>
    <t>Z1610005J</t>
  </si>
  <si>
    <t>L640YTPH9D</t>
  </si>
  <si>
    <t>XHRHWJ7HVX</t>
  </si>
  <si>
    <t>FM05-02439</t>
  </si>
  <si>
    <t>FM05-02440</t>
  </si>
  <si>
    <t>FM05-02441</t>
  </si>
  <si>
    <t>FM05-02442</t>
  </si>
  <si>
    <t>FM05-02443</t>
  </si>
  <si>
    <t>FM05-02444</t>
  </si>
  <si>
    <t>FM05-02445</t>
  </si>
  <si>
    <t xml:space="preserve">CAJUFA </t>
  </si>
  <si>
    <t>TABLET IPAD PRO 12.9 SPACE COLOR:GRAY</t>
  </si>
  <si>
    <t>Ck.27819</t>
  </si>
  <si>
    <t xml:space="preserve">Cable USB-C A HDMI de 15 Pies/ 14.8 FT , Cantidad: 12 </t>
  </si>
  <si>
    <t>FM05-S/N 01-FM05-S/N 12</t>
  </si>
  <si>
    <t>Ck.27820</t>
  </si>
  <si>
    <t>Ck.27821</t>
  </si>
  <si>
    <t>FM05-S/N 13-FM05-S/N 17</t>
  </si>
  <si>
    <t>Cable Trenzado USB-C A HDMI de 25 FT , Cantidad: 5</t>
  </si>
  <si>
    <t>FM05-S/N 18-FM05-S/N 27</t>
  </si>
  <si>
    <t>Cable Trenzado  HDMI de 25 FT , Cantidad: 10</t>
  </si>
  <si>
    <t xml:space="preserve">Departamento Financiero </t>
  </si>
  <si>
    <t xml:space="preserve">Departamento Administrativo </t>
  </si>
  <si>
    <t xml:space="preserve">Archivo y Corespondecia </t>
  </si>
  <si>
    <t xml:space="preserve">Departamento Administrativo / Doña Miriam Baez </t>
  </si>
  <si>
    <t xml:space="preserve">Controles Interno /Yoel Mieses </t>
  </si>
  <si>
    <t xml:space="preserve">Controles Interno /Luisa </t>
  </si>
  <si>
    <t xml:space="preserve">Dep. de Acceso a la Infomacion /Jenifer Marti </t>
  </si>
  <si>
    <t xml:space="preserve">Dep. de Acceso a la Infomacion /Maximo Viola </t>
  </si>
  <si>
    <t xml:space="preserve">UTIC/ Vilma Peralta </t>
  </si>
  <si>
    <t>utic</t>
  </si>
  <si>
    <t xml:space="preserve">Auditores Interno </t>
  </si>
  <si>
    <t xml:space="preserve">Poblaciones Claves </t>
  </si>
  <si>
    <t xml:space="preserve">Control Interno </t>
  </si>
  <si>
    <t xml:space="preserve">Pasillo de Recepcion </t>
  </si>
  <si>
    <r>
      <rPr>
        <b/>
        <sz val="11"/>
        <color indexed="10"/>
        <rFont val="Arial"/>
        <family val="2"/>
      </rPr>
      <t xml:space="preserve">       Nota_1:</t>
    </r>
    <r>
      <rPr>
        <b/>
        <sz val="10"/>
        <color indexed="18"/>
        <rFont val="Arial"/>
        <family val="2"/>
      </rPr>
      <t xml:space="preserve"> Informe de Activos Fijos Acumulado al 30 de Junio , 2023.</t>
    </r>
  </si>
  <si>
    <t>____________________________</t>
  </si>
  <si>
    <t xml:space="preserve">Lic.Carlos Castillo </t>
  </si>
  <si>
    <r>
      <rPr>
        <b/>
        <sz val="11"/>
        <color indexed="10"/>
        <rFont val="Arial"/>
        <family val="2"/>
      </rPr>
      <t xml:space="preserve">  Nota_1:</t>
    </r>
    <r>
      <rPr>
        <b/>
        <sz val="10"/>
        <color indexed="18"/>
        <rFont val="Arial"/>
        <family val="2"/>
      </rPr>
      <t xml:space="preserve"> Informe de Activos Fijos Acumulado al 30 DE JUNIO, 2023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</si>
  <si>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</si>
  <si>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</si>
  <si>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Mao</t>
  </si>
  <si>
    <t xml:space="preserve">San Pedro de Macoris </t>
  </si>
  <si>
    <t xml:space="preserve">Santiago de los Caballero </t>
  </si>
  <si>
    <t>Servicio Regional de Salud V</t>
  </si>
  <si>
    <t xml:space="preserve">Servicio Regional de Salud Norcentral </t>
  </si>
  <si>
    <t>CLINICA FUNDACION MIR / CLINICA DE FAMILIA</t>
  </si>
  <si>
    <t xml:space="preserve">Constanza/Area De Vacuna </t>
  </si>
  <si>
    <t xml:space="preserve">Monseñor Nouel, Bonao/Hosp. Viejo </t>
  </si>
  <si>
    <t xml:space="preserve">Monseñor Nouel, Bonao/ Almacen </t>
  </si>
  <si>
    <t>SAN CRISTOBAL</t>
  </si>
  <si>
    <t xml:space="preserve">Digecitss/ Santo Domingo </t>
  </si>
  <si>
    <t>LA VEGA</t>
  </si>
  <si>
    <t>Bani/Villa Fundación</t>
  </si>
  <si>
    <t>SANTIAGO DE LOS CABALLEROS</t>
  </si>
  <si>
    <t>Miches/Conserjeria</t>
  </si>
  <si>
    <t>Hosp. Mun. De Miches</t>
  </si>
  <si>
    <t>Centro Especializado de Atencion de Salud Juan XXIII</t>
  </si>
  <si>
    <t>Bani /Juanita Rosa R.</t>
  </si>
  <si>
    <t xml:space="preserve"> Barahona</t>
  </si>
  <si>
    <t xml:space="preserve">Hosp. Jaime Motas </t>
  </si>
  <si>
    <t>San Juan/Lourdes Odalis Tejeda</t>
  </si>
  <si>
    <t>SANTO DOMINGO</t>
  </si>
  <si>
    <t>Mao,Valverde</t>
  </si>
  <si>
    <t xml:space="preserve"> Gestión Humana   Miguel Ruiz</t>
  </si>
  <si>
    <t>Gestion  Humana Miguel Ruiz</t>
  </si>
  <si>
    <t xml:space="preserve"> Planificación y Desarrollo Noemi Encarnación</t>
  </si>
  <si>
    <t xml:space="preserve"> Planificación y Desarrollo Francia</t>
  </si>
  <si>
    <t xml:space="preserve">Tecnologia </t>
  </si>
  <si>
    <t xml:space="preserve">CENTRO MATERNO INFANTIL SAN LORENZO DE LOS MINAS/ VIH PEDIATRIA </t>
  </si>
  <si>
    <t>CENTRO MATERNO INFANTIL SAN LORENZO DE LOS MINAS/ VIH EMBARAZADA</t>
  </si>
  <si>
    <t xml:space="preserve">CONAVIHSIDA/ALMACEN </t>
  </si>
  <si>
    <t xml:space="preserve">Gerencia Técnica   </t>
  </si>
  <si>
    <t xml:space="preserve">SERVICIO REGIONAL DE SALUD EL VALLE </t>
  </si>
  <si>
    <t>Mao, Valverde</t>
  </si>
  <si>
    <t xml:space="preserve">     Barahona</t>
  </si>
  <si>
    <t xml:space="preserve">    Barahona</t>
  </si>
  <si>
    <t xml:space="preserve">             La Vega</t>
  </si>
  <si>
    <t xml:space="preserve">      Barahona</t>
  </si>
  <si>
    <t xml:space="preserve">        Barahona</t>
  </si>
  <si>
    <t xml:space="preserve">                La Vega</t>
  </si>
  <si>
    <t xml:space="preserve">   Barahona</t>
  </si>
  <si>
    <t xml:space="preserve">Recepcion </t>
  </si>
  <si>
    <r>
      <t xml:space="preserve">(**) </t>
    </r>
    <r>
      <rPr>
        <sz val="11"/>
        <color theme="1"/>
        <rFont val="Arial"/>
        <family val="2"/>
      </rPr>
      <t>HPLC LaChorom Elite de Merck-Hitachi. Incluye: Módulo de Bomba, Sistema de Gradientes, Horno, Detector UV, Detector Fluorescencia, Auto-Muestrador, Software, Computadora e Impresora. Utilizado para Cromatografía Líquida.</t>
    </r>
  </si>
  <si>
    <r>
      <rPr>
        <b/>
        <sz val="11"/>
        <color theme="1"/>
        <rFont val="Arial"/>
        <family val="2"/>
      </rPr>
      <t>Chasis:</t>
    </r>
    <r>
      <rPr>
        <sz val="11"/>
        <color theme="1"/>
        <rFont val="Arial"/>
        <family val="2"/>
      </rPr>
      <t xml:space="preserve"> VR7E9HPAPJ519510/ </t>
    </r>
    <r>
      <rPr>
        <b/>
        <sz val="11"/>
        <color theme="1"/>
        <rFont val="Arial"/>
        <family val="2"/>
      </rPr>
      <t>Placa:</t>
    </r>
    <r>
      <rPr>
        <sz val="11"/>
        <color theme="1"/>
        <rFont val="Arial"/>
        <family val="2"/>
      </rPr>
      <t>L468129</t>
    </r>
  </si>
  <si>
    <r>
      <rPr>
        <b/>
        <sz val="11"/>
        <color theme="1"/>
        <rFont val="Arial"/>
        <family val="2"/>
      </rPr>
      <t>Chasis:</t>
    </r>
    <r>
      <rPr>
        <sz val="11"/>
        <color theme="1"/>
        <rFont val="Arial"/>
        <family val="2"/>
      </rPr>
      <t>VR7E9HPAPJ515272/</t>
    </r>
    <r>
      <rPr>
        <b/>
        <sz val="11"/>
        <color theme="1"/>
        <rFont val="Arial"/>
        <family val="2"/>
      </rPr>
      <t xml:space="preserve"> Placa: </t>
    </r>
    <r>
      <rPr>
        <sz val="11"/>
        <color theme="1"/>
        <rFont val="Arial"/>
        <family val="2"/>
      </rPr>
      <t>L468128</t>
    </r>
  </si>
  <si>
    <r>
      <rPr>
        <b/>
        <sz val="11"/>
        <color theme="1"/>
        <rFont val="Arial"/>
        <family val="2"/>
      </rPr>
      <t>Chasis:</t>
    </r>
    <r>
      <rPr>
        <sz val="11"/>
        <color theme="1"/>
        <rFont val="Arial"/>
        <family val="2"/>
      </rPr>
      <t xml:space="preserve">VR7E9HPAPJ515273/ </t>
    </r>
    <r>
      <rPr>
        <b/>
        <sz val="11"/>
        <color theme="1"/>
        <rFont val="Arial"/>
        <family val="2"/>
      </rPr>
      <t>Placa:</t>
    </r>
    <r>
      <rPr>
        <sz val="11"/>
        <color theme="1"/>
        <rFont val="Arial"/>
        <family val="2"/>
      </rPr>
      <t>L468126</t>
    </r>
  </si>
  <si>
    <r>
      <rPr>
        <b/>
        <sz val="11"/>
        <color theme="1"/>
        <rFont val="Arial"/>
        <family val="2"/>
      </rPr>
      <t>Chasis:</t>
    </r>
    <r>
      <rPr>
        <sz val="11"/>
        <color theme="1"/>
        <rFont val="Arial"/>
        <family val="2"/>
      </rPr>
      <t xml:space="preserve">VR7E9HPAPJ515274/ </t>
    </r>
    <r>
      <rPr>
        <b/>
        <sz val="11"/>
        <color theme="1"/>
        <rFont val="Arial"/>
        <family val="2"/>
      </rPr>
      <t>Placa:</t>
    </r>
    <r>
      <rPr>
        <sz val="11"/>
        <color theme="1"/>
        <rFont val="Arial"/>
        <family val="2"/>
      </rPr>
      <t>L468127</t>
    </r>
  </si>
  <si>
    <r>
      <rPr>
        <b/>
        <sz val="11"/>
        <color theme="1"/>
        <rFont val="Arial"/>
        <family val="2"/>
      </rPr>
      <t>Chasis:</t>
    </r>
    <r>
      <rPr>
        <sz val="11"/>
        <color theme="1"/>
        <rFont val="Arial"/>
        <family val="2"/>
      </rPr>
      <t xml:space="preserve">VR7E9HPAPJ515275/   </t>
    </r>
    <r>
      <rPr>
        <b/>
        <sz val="11"/>
        <color theme="1"/>
        <rFont val="Arial"/>
        <family val="2"/>
      </rPr>
      <t>Placa:</t>
    </r>
    <r>
      <rPr>
        <sz val="11"/>
        <color theme="1"/>
        <rFont val="Arial"/>
        <family val="2"/>
      </rPr>
      <t>L468125</t>
    </r>
  </si>
  <si>
    <r>
      <t xml:space="preserve">FM05-01862 </t>
    </r>
    <r>
      <rPr>
        <b/>
        <sz val="11"/>
        <rFont val="Arial"/>
        <family val="2"/>
      </rPr>
      <t>(GOBDOM-02-01851)</t>
    </r>
  </si>
  <si>
    <r>
      <t xml:space="preserve">FM05-01863 </t>
    </r>
    <r>
      <rPr>
        <b/>
        <sz val="11"/>
        <rFont val="Arial"/>
        <family val="2"/>
      </rPr>
      <t>(GOBDOM-02-01852)</t>
    </r>
  </si>
  <si>
    <r>
      <t xml:space="preserve">FM05-01864 </t>
    </r>
    <r>
      <rPr>
        <b/>
        <sz val="11"/>
        <rFont val="Arial"/>
        <family val="2"/>
      </rPr>
      <t>(GOBDOM-02-01853)</t>
    </r>
  </si>
  <si>
    <r>
      <t>FM05-01865</t>
    </r>
    <r>
      <rPr>
        <b/>
        <sz val="11"/>
        <rFont val="Arial"/>
        <family val="2"/>
      </rPr>
      <t>(GOBDOM-02-01854)</t>
    </r>
  </si>
  <si>
    <r>
      <t xml:space="preserve">Escritorio MYO,Con 3 Cajones con Seguro, Base Metal, </t>
    </r>
    <r>
      <rPr>
        <b/>
        <sz val="11"/>
        <rFont val="Arial"/>
        <family val="2"/>
      </rPr>
      <t>Color</t>
    </r>
    <r>
      <rPr>
        <sz val="11"/>
        <rFont val="Arial"/>
        <family val="2"/>
      </rPr>
      <t xml:space="preserve"> Gris/Almendra.</t>
    </r>
  </si>
  <si>
    <r>
      <t>FM05-01866</t>
    </r>
    <r>
      <rPr>
        <b/>
        <sz val="11"/>
        <rFont val="Arial"/>
        <family val="2"/>
      </rPr>
      <t>(GOBDOM-02-01855)</t>
    </r>
  </si>
  <si>
    <r>
      <t>FM05-01867</t>
    </r>
    <r>
      <rPr>
        <b/>
        <sz val="11"/>
        <rFont val="Arial"/>
        <family val="2"/>
      </rPr>
      <t>(GOBDOM-02-01856)</t>
    </r>
  </si>
  <si>
    <r>
      <t>FM05-01868</t>
    </r>
    <r>
      <rPr>
        <b/>
        <sz val="11"/>
        <rFont val="Arial"/>
        <family val="2"/>
      </rPr>
      <t>(GOBDOM-02-01857)</t>
    </r>
  </si>
  <si>
    <r>
      <t>FM05-01869</t>
    </r>
    <r>
      <rPr>
        <b/>
        <sz val="11"/>
        <rFont val="Arial"/>
        <family val="2"/>
      </rPr>
      <t>(GOBDOM-02-01858)</t>
    </r>
  </si>
  <si>
    <r>
      <t>FM05-01870</t>
    </r>
    <r>
      <rPr>
        <b/>
        <sz val="11"/>
        <rFont val="Arial"/>
        <family val="2"/>
      </rPr>
      <t>(GOBDOM-02-01859)</t>
    </r>
  </si>
  <si>
    <r>
      <t>FM05-01871</t>
    </r>
    <r>
      <rPr>
        <b/>
        <sz val="11"/>
        <rFont val="Arial"/>
        <family val="2"/>
      </rPr>
      <t>(GOBDOM-02-01860)</t>
    </r>
  </si>
  <si>
    <r>
      <t>FM05-01872</t>
    </r>
    <r>
      <rPr>
        <b/>
        <sz val="11"/>
        <rFont val="Arial"/>
        <family val="2"/>
      </rPr>
      <t>(GOBDOM-02-01861)</t>
    </r>
  </si>
  <si>
    <r>
      <t xml:space="preserve">Cafetera Electrica de 12 Tazas Protor/Silex </t>
    </r>
    <r>
      <rPr>
        <b/>
        <sz val="11"/>
        <rFont val="Arial"/>
        <family val="2"/>
      </rPr>
      <t>Color</t>
    </r>
    <r>
      <rPr>
        <sz val="11"/>
        <rFont val="Arial"/>
        <family val="2"/>
      </rPr>
      <t xml:space="preserve"> Negra </t>
    </r>
  </si>
  <si>
    <r>
      <t>FM05-01873</t>
    </r>
    <r>
      <rPr>
        <b/>
        <sz val="11"/>
        <rFont val="Arial"/>
        <family val="2"/>
      </rPr>
      <t>(GOBDOM-02-01862)</t>
    </r>
  </si>
  <si>
    <r>
      <t>Carros Plataforma para el Transporte de Cajas de  Dimension 24 x48 (</t>
    </r>
    <r>
      <rPr>
        <b/>
        <sz val="11"/>
        <rFont val="Arial"/>
        <family val="2"/>
      </rPr>
      <t>Carros de Almacen</t>
    </r>
    <r>
      <rPr>
        <sz val="11"/>
        <rFont val="Arial"/>
        <family val="2"/>
      </rPr>
      <t>).</t>
    </r>
  </si>
  <si>
    <r>
      <t xml:space="preserve">Abanico Industriales Para la Nave de 30 pulgadas,Marca </t>
    </r>
    <r>
      <rPr>
        <b/>
        <sz val="11"/>
        <rFont val="Arial"/>
        <family val="2"/>
      </rPr>
      <t>SANKEY</t>
    </r>
  </si>
  <si>
    <r>
      <t xml:space="preserve">Archivo Vertical Metalico de 4 Gavetas, </t>
    </r>
    <r>
      <rPr>
        <b/>
        <sz val="11"/>
        <rFont val="Arial"/>
        <family val="2"/>
      </rPr>
      <t>Color</t>
    </r>
    <r>
      <rPr>
        <sz val="11"/>
        <rFont val="Arial"/>
        <family val="2"/>
      </rPr>
      <t xml:space="preserve"> Gris criollo     </t>
    </r>
  </si>
  <si>
    <t xml:space="preserve">                       ACTIVOS FIJOS ACUMULADO AL 31 DE DICIEMBRE, 2023.</t>
  </si>
  <si>
    <t>Lib.1313-1</t>
  </si>
  <si>
    <t>GOBDOM-02-01993</t>
  </si>
  <si>
    <t>JEEP NEGRO CHEVROLET-</t>
  </si>
  <si>
    <t xml:space="preserve">Direccion Ejecutiva </t>
  </si>
  <si>
    <r>
      <t xml:space="preserve">Gradilla Plastica P/50 Tubos (5-10ml). Cantidad: </t>
    </r>
    <r>
      <rPr>
        <b/>
        <sz val="11"/>
        <rFont val="Arial"/>
        <family val="2"/>
      </rPr>
      <t>4</t>
    </r>
    <r>
      <rPr>
        <sz val="11"/>
        <color theme="1"/>
        <rFont val="Arial"/>
        <family val="2"/>
      </rPr>
      <t xml:space="preserve"> Unidades</t>
    </r>
  </si>
  <si>
    <r>
      <t xml:space="preserve">Tubo Micro-Centrifuga 1.5ml C/Tapon Esteril PCR. Cantidad: </t>
    </r>
    <r>
      <rPr>
        <b/>
        <sz val="11"/>
        <rFont val="Arial"/>
        <family val="2"/>
      </rPr>
      <t>35</t>
    </r>
    <r>
      <rPr>
        <sz val="11"/>
        <color theme="1"/>
        <rFont val="Arial"/>
        <family val="2"/>
      </rPr>
      <t xml:space="preserve"> Unidades.</t>
    </r>
  </si>
  <si>
    <r>
      <t xml:space="preserve">Gradilla Plastica P/72 Tubos (3-5ml). Cantidad: </t>
    </r>
    <r>
      <rPr>
        <b/>
        <sz val="11"/>
        <rFont val="Arial"/>
        <family val="2"/>
      </rPr>
      <t>6</t>
    </r>
    <r>
      <rPr>
        <sz val="11"/>
        <color theme="1"/>
        <rFont val="Arial"/>
        <family val="2"/>
      </rPr>
      <t xml:space="preserve"> Unidades</t>
    </r>
  </si>
  <si>
    <r>
      <t xml:space="preserve">Gradilla Plastica P/36 Tubos (3-5ml). Cantidad: </t>
    </r>
    <r>
      <rPr>
        <b/>
        <sz val="11"/>
        <rFont val="Arial"/>
        <family val="2"/>
      </rPr>
      <t>8</t>
    </r>
    <r>
      <rPr>
        <sz val="11"/>
        <color theme="1"/>
        <rFont val="Arial"/>
        <family val="2"/>
      </rPr>
      <t xml:space="preserve"> Unidades</t>
    </r>
  </si>
  <si>
    <r>
      <t xml:space="preserve">Gradilla Plastica P/24 Microtubos de 1.5/2ml  Cantidad: </t>
    </r>
    <r>
      <rPr>
        <b/>
        <sz val="11"/>
        <rFont val="Arial"/>
        <family val="2"/>
      </rPr>
      <t>6</t>
    </r>
    <r>
      <rPr>
        <sz val="11"/>
        <color theme="1"/>
        <rFont val="Arial"/>
        <family val="2"/>
      </rPr>
      <t xml:space="preserve"> Unidades</t>
    </r>
  </si>
  <si>
    <r>
      <t xml:space="preserve">Gradilla Plastica P/72 Tubos (3-5ml). Cantidad: </t>
    </r>
    <r>
      <rPr>
        <b/>
        <sz val="11"/>
        <rFont val="Arial"/>
        <family val="2"/>
      </rPr>
      <t>4</t>
    </r>
    <r>
      <rPr>
        <sz val="11"/>
        <color theme="1"/>
        <rFont val="Arial"/>
        <family val="2"/>
      </rPr>
      <t xml:space="preserve"> Unidades</t>
    </r>
  </si>
  <si>
    <r>
      <t xml:space="preserve">Gradilla Plastica P/36 Tubos (3-5ml). Cantidad: </t>
    </r>
    <r>
      <rPr>
        <b/>
        <sz val="11"/>
        <rFont val="Arial"/>
        <family val="2"/>
      </rPr>
      <t>6</t>
    </r>
    <r>
      <rPr>
        <sz val="11"/>
        <color theme="1"/>
        <rFont val="Arial"/>
        <family val="2"/>
      </rPr>
      <t xml:space="preserve"> Unidades</t>
    </r>
  </si>
  <si>
    <r>
      <t xml:space="preserve">Gradilla Plastica P/50 Tubos (5-10ml). Cantidad: </t>
    </r>
    <r>
      <rPr>
        <b/>
        <sz val="11"/>
        <rFont val="Arial"/>
        <family val="2"/>
      </rPr>
      <t>2</t>
    </r>
    <r>
      <rPr>
        <sz val="11"/>
        <color theme="1"/>
        <rFont val="Arial"/>
        <family val="2"/>
      </rPr>
      <t xml:space="preserve"> Unidades</t>
    </r>
  </si>
  <si>
    <r>
      <t xml:space="preserve">Gradilla Plastica P/24 Microtubos de 1.5/2ml  Cantidad: </t>
    </r>
    <r>
      <rPr>
        <b/>
        <sz val="11"/>
        <rFont val="Arial"/>
        <family val="2"/>
      </rPr>
      <t>4</t>
    </r>
    <r>
      <rPr>
        <sz val="11"/>
        <color theme="1"/>
        <rFont val="Arial"/>
        <family val="2"/>
      </rPr>
      <t xml:space="preserve"> Unidades</t>
    </r>
  </si>
  <si>
    <r>
      <t xml:space="preserve">Gradilla Plastica P/72 Tubos (3-5ml). Cantidad: </t>
    </r>
    <r>
      <rPr>
        <b/>
        <sz val="11"/>
        <rFont val="Arial"/>
        <family val="2"/>
      </rPr>
      <t>08</t>
    </r>
    <r>
      <rPr>
        <sz val="11"/>
        <color theme="1"/>
        <rFont val="Arial"/>
        <family val="2"/>
      </rPr>
      <t xml:space="preserve"> Unidades</t>
    </r>
  </si>
  <si>
    <r>
      <t xml:space="preserve">Gradilla Plastica P/36 Tubos (3-5ml). Cantidad: </t>
    </r>
    <r>
      <rPr>
        <b/>
        <sz val="11"/>
        <rFont val="Arial"/>
        <family val="2"/>
      </rPr>
      <t>10</t>
    </r>
    <r>
      <rPr>
        <sz val="11"/>
        <color theme="1"/>
        <rFont val="Arial"/>
        <family val="2"/>
      </rPr>
      <t xml:space="preserve"> Unidades</t>
    </r>
  </si>
  <si>
    <r>
      <t xml:space="preserve">Gradilla Plastica P/24 Microtubos de 1.5/2ml  Cantidad: </t>
    </r>
    <r>
      <rPr>
        <b/>
        <sz val="11"/>
        <rFont val="Arial"/>
        <family val="2"/>
      </rPr>
      <t>8</t>
    </r>
    <r>
      <rPr>
        <sz val="11"/>
        <color theme="1"/>
        <rFont val="Arial"/>
        <family val="2"/>
      </rPr>
      <t xml:space="preserve"> Unidades</t>
    </r>
  </si>
  <si>
    <r>
      <t>Tubo Micro-Centrifuga 1.5ml C/Tapon Esteril PCR. Cantidad:</t>
    </r>
    <r>
      <rPr>
        <b/>
        <sz val="11"/>
        <rFont val="Arial"/>
        <family val="2"/>
      </rPr>
      <t xml:space="preserve"> 50</t>
    </r>
    <r>
      <rPr>
        <sz val="11"/>
        <color theme="1"/>
        <rFont val="Arial"/>
        <family val="2"/>
      </rPr>
      <t xml:space="preserve"> Unidades.</t>
    </r>
  </si>
  <si>
    <r>
      <t xml:space="preserve">Tapa para Tubo de Ensayo (12x75)               Cantidad: </t>
    </r>
    <r>
      <rPr>
        <b/>
        <sz val="11"/>
        <rFont val="Arial"/>
        <family val="2"/>
      </rPr>
      <t>14</t>
    </r>
    <r>
      <rPr>
        <sz val="11"/>
        <color theme="1"/>
        <rFont val="Arial"/>
        <family val="2"/>
      </rPr>
      <t xml:space="preserve"> Paquete de 250 Unidades</t>
    </r>
  </si>
  <si>
    <r>
      <t xml:space="preserve">Punta de Cera. Cantidad: </t>
    </r>
    <r>
      <rPr>
        <b/>
        <sz val="11"/>
        <rFont val="Arial"/>
        <family val="2"/>
      </rPr>
      <t>2</t>
    </r>
    <r>
      <rPr>
        <sz val="11"/>
        <color theme="1"/>
        <rFont val="Arial"/>
        <family val="2"/>
      </rPr>
      <t xml:space="preserve"> Unidades</t>
    </r>
  </si>
  <si>
    <r>
      <t xml:space="preserve">Tubo de Ensayo de 3ml - 5ml (12x75)           Cantidad: </t>
    </r>
    <r>
      <rPr>
        <b/>
        <sz val="11"/>
        <rFont val="Arial"/>
        <family val="2"/>
      </rPr>
      <t>14</t>
    </r>
    <r>
      <rPr>
        <sz val="11"/>
        <color theme="1"/>
        <rFont val="Arial"/>
        <family val="2"/>
      </rPr>
      <t xml:space="preserve"> Paquete de 250 Unidades</t>
    </r>
  </si>
  <si>
    <r>
      <t xml:space="preserve">Gradilla Plástica P/24 Microtubos (1.5ml a 2.0ml). Cantidad: </t>
    </r>
    <r>
      <rPr>
        <b/>
        <sz val="11"/>
        <rFont val="Arial"/>
        <family val="2"/>
      </rPr>
      <t>01</t>
    </r>
    <r>
      <rPr>
        <sz val="11"/>
        <color theme="1"/>
        <rFont val="Arial"/>
        <family val="2"/>
      </rPr>
      <t xml:space="preserve"> Unidades</t>
    </r>
  </si>
  <si>
    <r>
      <t xml:space="preserve">Gradilla Plástica P/36 Microtubos Azul (10-13ml). Cantidad: </t>
    </r>
    <r>
      <rPr>
        <b/>
        <sz val="11"/>
        <rFont val="Arial"/>
        <family val="2"/>
      </rPr>
      <t>04</t>
    </r>
    <r>
      <rPr>
        <sz val="11"/>
        <color theme="1"/>
        <rFont val="Arial"/>
        <family val="2"/>
      </rPr>
      <t xml:space="preserve"> Unidades</t>
    </r>
  </si>
  <si>
    <r>
      <t xml:space="preserve">Gradilla Plastica P/72 Microtubos Naranja (10-13ml). Cantidad: </t>
    </r>
    <r>
      <rPr>
        <b/>
        <sz val="11"/>
        <rFont val="Arial"/>
        <family val="2"/>
      </rPr>
      <t>04</t>
    </r>
    <r>
      <rPr>
        <sz val="11"/>
        <color theme="1"/>
        <rFont val="Arial"/>
        <family val="2"/>
      </rPr>
      <t xml:space="preserve"> Unidades</t>
    </r>
  </si>
  <si>
    <r>
      <t xml:space="preserve">Soporte Finnpipette P/3 Pipetas Gris Thermo. Cantidad: </t>
    </r>
    <r>
      <rPr>
        <b/>
        <sz val="11"/>
        <rFont val="Arial"/>
        <family val="2"/>
      </rPr>
      <t>02</t>
    </r>
    <r>
      <rPr>
        <sz val="11"/>
        <color theme="1"/>
        <rFont val="Arial"/>
        <family val="2"/>
      </rPr>
      <t xml:space="preserve"> Unidades.</t>
    </r>
  </si>
  <si>
    <r>
      <t xml:space="preserve">Tip C/Filtro Art. 100- 1000ul 88.3mm PCR         (8 x 100). Cantidad: </t>
    </r>
    <r>
      <rPr>
        <b/>
        <sz val="11"/>
        <rFont val="Arial"/>
        <family val="2"/>
      </rPr>
      <t>04</t>
    </r>
    <r>
      <rPr>
        <sz val="11"/>
        <color theme="1"/>
        <rFont val="Arial"/>
        <family val="2"/>
      </rPr>
      <t xml:space="preserve"> Unidades.</t>
    </r>
  </si>
  <si>
    <r>
      <t xml:space="preserve">Gradilla Plástica P/50 Microtubos Azul Doble. Cantidad: </t>
    </r>
    <r>
      <rPr>
        <b/>
        <sz val="11"/>
        <rFont val="Arial"/>
        <family val="2"/>
      </rPr>
      <t>04</t>
    </r>
    <r>
      <rPr>
        <sz val="11"/>
        <color theme="1"/>
        <rFont val="Arial"/>
        <family val="2"/>
      </rPr>
      <t xml:space="preserve"> Unidades.</t>
    </r>
  </si>
  <si>
    <r>
      <t xml:space="preserve">Tips Amarillo Sin Rosca. Paq./1000. Cantidad: </t>
    </r>
    <r>
      <rPr>
        <b/>
        <sz val="11"/>
        <rFont val="Arial"/>
        <family val="2"/>
      </rPr>
      <t>10</t>
    </r>
    <r>
      <rPr>
        <sz val="11"/>
        <color theme="1"/>
        <rFont val="Arial"/>
        <family val="2"/>
      </rPr>
      <t xml:space="preserve"> Unidades.</t>
    </r>
  </si>
  <si>
    <r>
      <t xml:space="preserve">San Cristobal /Servicio Regional de Salud Valdesia                        </t>
    </r>
    <r>
      <rPr>
        <b/>
        <sz val="11"/>
        <rFont val="Arial"/>
        <family val="2"/>
      </rPr>
      <t xml:space="preserve"> </t>
    </r>
  </si>
  <si>
    <r>
      <t xml:space="preserve">Servicio Regional de Salud El Valle R-6                       </t>
    </r>
    <r>
      <rPr>
        <b/>
        <sz val="11"/>
        <rFont val="Arial"/>
        <family val="2"/>
      </rPr>
      <t xml:space="preserve"> San Juan </t>
    </r>
  </si>
  <si>
    <r>
      <t xml:space="preserve">           </t>
    </r>
    <r>
      <rPr>
        <b/>
        <sz val="11"/>
        <rFont val="Arial"/>
        <family val="2"/>
      </rPr>
      <t>Mao, Valverde</t>
    </r>
  </si>
  <si>
    <r>
      <t xml:space="preserve">Servicio Regional de Salud cibao Occidental                 </t>
    </r>
    <r>
      <rPr>
        <b/>
        <sz val="11"/>
        <rFont val="Arial"/>
        <family val="2"/>
      </rPr>
      <t>Mao, Valverde</t>
    </r>
  </si>
  <si>
    <r>
      <t xml:space="preserve">Servicio Regional de Salud Nordeste                         </t>
    </r>
    <r>
      <rPr>
        <b/>
        <sz val="11"/>
        <rFont val="Arial"/>
        <family val="2"/>
      </rPr>
      <t>San Pedro de Macoris</t>
    </r>
  </si>
  <si>
    <r>
      <t xml:space="preserve">Servicio Regional de Salud Enriquillo R-4               </t>
    </r>
    <r>
      <rPr>
        <b/>
        <sz val="11"/>
        <rFont val="Arial"/>
        <family val="2"/>
      </rPr>
      <t xml:space="preserve"> Barahona </t>
    </r>
  </si>
  <si>
    <r>
      <t xml:space="preserve">Servicio Regional de Salud Valdesia                        </t>
    </r>
    <r>
      <rPr>
        <b/>
        <sz val="11"/>
        <rFont val="Arial"/>
        <family val="2"/>
      </rPr>
      <t xml:space="preserve"> San Cristobal </t>
    </r>
  </si>
  <si>
    <r>
      <t xml:space="preserve">Servicio Regional de Salud Cibao Central                    </t>
    </r>
    <r>
      <rPr>
        <b/>
        <sz val="11"/>
        <rFont val="Arial"/>
        <family val="2"/>
      </rPr>
      <t xml:space="preserve"> La Vega </t>
    </r>
  </si>
  <si>
    <t>FM05-02446</t>
  </si>
  <si>
    <t xml:space="preserve">TABLET GALAXY A8, COLOR:SILVER </t>
  </si>
  <si>
    <t>R8YW602SHED</t>
  </si>
  <si>
    <t>R8YW602SK9W</t>
  </si>
  <si>
    <t>R8YW602SKBP</t>
  </si>
  <si>
    <t>R8YW602SJ1B</t>
  </si>
  <si>
    <t>R8YW602SHCF</t>
  </si>
  <si>
    <t>R8YW602SKDK</t>
  </si>
  <si>
    <t>R8YW512L33R</t>
  </si>
  <si>
    <t>R8YW512L1WZ</t>
  </si>
  <si>
    <t>R8YW602SJNW</t>
  </si>
  <si>
    <t>R8YW602SKJF</t>
  </si>
  <si>
    <t>R8YW602SKQL</t>
  </si>
  <si>
    <t>R8YW602SKCY</t>
  </si>
  <si>
    <t>R8YW602S19F</t>
  </si>
  <si>
    <t>R8YW512L2WX</t>
  </si>
  <si>
    <t>R8YW602SJHD</t>
  </si>
  <si>
    <t>R8YW602SKLD</t>
  </si>
  <si>
    <t>R8YW602SKKN</t>
  </si>
  <si>
    <t>R8YW602SH8T</t>
  </si>
  <si>
    <t>R8YW512KZDM</t>
  </si>
  <si>
    <t>R8YW512L20R</t>
  </si>
  <si>
    <t>R8YW512L0DR</t>
  </si>
  <si>
    <t>R8YW602SK4B</t>
  </si>
  <si>
    <t>R8YW602SKAX</t>
  </si>
  <si>
    <t>R8YW602SK1D</t>
  </si>
  <si>
    <t>R8YW602SKNZ</t>
  </si>
  <si>
    <t>R8YW512L2SH</t>
  </si>
  <si>
    <t>R8YW512L32B</t>
  </si>
  <si>
    <t>R8YW512KZLW</t>
  </si>
  <si>
    <t>CK.27996</t>
  </si>
  <si>
    <t>FM05-02447</t>
  </si>
  <si>
    <t>FM05-02448</t>
  </si>
  <si>
    <t>FM05-02449</t>
  </si>
  <si>
    <t>FM05-02450</t>
  </si>
  <si>
    <t>FM05-02451</t>
  </si>
  <si>
    <t>FM05-02452</t>
  </si>
  <si>
    <t>FM05-02453</t>
  </si>
  <si>
    <t>FM05-02454</t>
  </si>
  <si>
    <t>FM05-02455</t>
  </si>
  <si>
    <t>FM05-02456</t>
  </si>
  <si>
    <t>FM05-02457</t>
  </si>
  <si>
    <t>FM05-02458</t>
  </si>
  <si>
    <t>FM05-02459</t>
  </si>
  <si>
    <t>FM05-02460</t>
  </si>
  <si>
    <t>FM05-02461</t>
  </si>
  <si>
    <t>FM05-02462</t>
  </si>
  <si>
    <t>FM05-02463</t>
  </si>
  <si>
    <t>FM05-02464</t>
  </si>
  <si>
    <t>FM05-02465</t>
  </si>
  <si>
    <t>FM05-02466</t>
  </si>
  <si>
    <t>FM05-02467</t>
  </si>
  <si>
    <t>FM05-02468</t>
  </si>
  <si>
    <t>FM05-02469</t>
  </si>
  <si>
    <t>FM05-02470</t>
  </si>
  <si>
    <t>FM05-02471</t>
  </si>
  <si>
    <t>FM05-02472</t>
  </si>
  <si>
    <t>FM05-02473</t>
  </si>
  <si>
    <t>GOBDOM-02-01994</t>
  </si>
  <si>
    <t>GOBDOM-02-01995</t>
  </si>
  <si>
    <t>GOBDOM-02-01996</t>
  </si>
  <si>
    <t>GOBDOM-02-01997</t>
  </si>
  <si>
    <t>GOBDOM-02-01998</t>
  </si>
  <si>
    <t>Escritorio  Formace Modular de 28 x 48, Tope, Color: Haya-Milano, Estructura Plateada.</t>
  </si>
  <si>
    <r>
      <t xml:space="preserve">Archivo Importado ,marca Steelfile de 3 gaveta , </t>
    </r>
    <r>
      <rPr>
        <b/>
        <sz val="10"/>
        <rFont val="Arial"/>
        <family val="2"/>
      </rPr>
      <t xml:space="preserve">Color: Gris , </t>
    </r>
    <r>
      <rPr>
        <sz val="10"/>
        <rFont val="Arial"/>
        <family val="2"/>
      </rPr>
      <t xml:space="preserve">en Metal </t>
    </r>
  </si>
  <si>
    <t>Crendenza con 2 Puerta, Color:Haya-Milano, Marca:Formace</t>
  </si>
  <si>
    <t xml:space="preserve">No Registrado en el siab </t>
  </si>
  <si>
    <t>1735-1</t>
  </si>
  <si>
    <t>GOBDOM-02-01999</t>
  </si>
  <si>
    <t>Bebedero de Botellón Daiwa. Con Botellón Oculto. Color Negro.</t>
  </si>
  <si>
    <t>023DWWDBL605230062</t>
  </si>
  <si>
    <t>GOBDOM-02-02000</t>
  </si>
  <si>
    <t>GOBDOM-02-02001</t>
  </si>
  <si>
    <t>023DWWDBL605230049</t>
  </si>
  <si>
    <t>023DWWDBL605230063</t>
  </si>
  <si>
    <t xml:space="preserve">Pasillo de Correspondencia </t>
  </si>
  <si>
    <t>EDYJCSA SRL</t>
  </si>
  <si>
    <t>Dep. monitores Financiero</t>
  </si>
  <si>
    <t>Lib.784-1</t>
  </si>
  <si>
    <t xml:space="preserve">                                  RELACION DE ACTIVO FIJO PROYECTO COVID 19 CRM.</t>
  </si>
  <si>
    <t xml:space="preserve">Código de Activos Fijos </t>
  </si>
  <si>
    <t>Transf. 42</t>
  </si>
  <si>
    <t>Laptops  Intel Core 19 , Dell XPS</t>
  </si>
  <si>
    <t xml:space="preserve">9zs49k3            </t>
  </si>
  <si>
    <t xml:space="preserve">Salud Colectiva </t>
  </si>
  <si>
    <t xml:space="preserve"> Ministerio de Salud Publica </t>
  </si>
  <si>
    <t>Offitek,SRL</t>
  </si>
  <si>
    <t>2GRGGK3</t>
  </si>
  <si>
    <t>46B44J3</t>
  </si>
  <si>
    <t>Transf. 97</t>
  </si>
  <si>
    <t>Covid-FM 101</t>
  </si>
  <si>
    <r>
      <t>CARPAS 3 X 3 ,Carpas Impresas a Cuatro Lados , C</t>
    </r>
    <r>
      <rPr>
        <b/>
        <sz val="11"/>
        <color theme="1"/>
        <rFont val="Calibri"/>
        <family val="2"/>
        <scheme val="minor"/>
      </rPr>
      <t>antidadad: 38 Unidades</t>
    </r>
  </si>
  <si>
    <t xml:space="preserve">Fiesta Caribe </t>
  </si>
  <si>
    <t>Transf. 111</t>
  </si>
  <si>
    <t xml:space="preserve">FM05-02427      </t>
  </si>
  <si>
    <t>Computadoras completa Dekscop , Monitor LG 22" Incluye Teclado y Mause</t>
  </si>
  <si>
    <t xml:space="preserve">M9PFAG00C864364     </t>
  </si>
  <si>
    <t xml:space="preserve">Departamento de Tecnologia </t>
  </si>
  <si>
    <t>Laboratorio Nacional Dr. Defillo.</t>
  </si>
  <si>
    <t>Grupo Rasec, S.R.L.</t>
  </si>
  <si>
    <t xml:space="preserve">FM05-02428  </t>
  </si>
  <si>
    <t>M9PFAG00C92436C</t>
  </si>
  <si>
    <t xml:space="preserve"> FM05-02429</t>
  </si>
  <si>
    <t xml:space="preserve">M8PFAG01615835B   </t>
  </si>
  <si>
    <t>Transf. 128</t>
  </si>
  <si>
    <t>Covid-FM-102</t>
  </si>
  <si>
    <t>Micropipetas Monocanal 100-100 ul</t>
  </si>
  <si>
    <t>Laboratorio Nacional Dr. Defillo</t>
  </si>
  <si>
    <t>CEREMO,SRL</t>
  </si>
  <si>
    <t>Covid-FM-103</t>
  </si>
  <si>
    <t>Covid-FM-104</t>
  </si>
  <si>
    <t>Covid-FM-105</t>
  </si>
  <si>
    <t>Covid-FM-106</t>
  </si>
  <si>
    <t>Covid-FM-107</t>
  </si>
  <si>
    <t>Covid-FM-108</t>
  </si>
  <si>
    <t>Covid-FM-109</t>
  </si>
  <si>
    <t>Covid-FM-110</t>
  </si>
  <si>
    <t>Covid-FM-111</t>
  </si>
  <si>
    <t>Covid-FM-112</t>
  </si>
  <si>
    <t>Micropipetas Monocanal 20-200 ul</t>
  </si>
  <si>
    <t>Covid-FM-113</t>
  </si>
  <si>
    <t>Covid-FM-114</t>
  </si>
  <si>
    <t>Covid-FM-115</t>
  </si>
  <si>
    <t>Covid-FM-116</t>
  </si>
  <si>
    <t>Covid-FM-117</t>
  </si>
  <si>
    <t>Covid-FM-118</t>
  </si>
  <si>
    <t>Covid-FM-119</t>
  </si>
  <si>
    <t>Covid-FM-120</t>
  </si>
  <si>
    <t>Covid-FM-121</t>
  </si>
  <si>
    <t>Covid-FM-122</t>
  </si>
  <si>
    <t>Micropipetas Monocanal 2-10 ul</t>
  </si>
  <si>
    <t>Covid-FM-123</t>
  </si>
  <si>
    <t>Covid-FM-124</t>
  </si>
  <si>
    <t>Covid-FM-125</t>
  </si>
  <si>
    <t>Covid-FM-126</t>
  </si>
  <si>
    <t>Covid-FM-127</t>
  </si>
  <si>
    <t>Covid-FM-128</t>
  </si>
  <si>
    <t>Covid-FM-129</t>
  </si>
  <si>
    <t>Covid-FM-130</t>
  </si>
  <si>
    <t>Covid-FM-131</t>
  </si>
  <si>
    <t>Covid-FM-132</t>
  </si>
  <si>
    <t>Micropipetas Monocanal 0.1-2 ul</t>
  </si>
  <si>
    <t>Covid-FM-133</t>
  </si>
  <si>
    <t>Covid-FM-134</t>
  </si>
  <si>
    <t>Covid-FM-135</t>
  </si>
  <si>
    <t>Covid-FM-136</t>
  </si>
  <si>
    <t>Covid-FM-137</t>
  </si>
  <si>
    <t>Covid-FM-138</t>
  </si>
  <si>
    <t>Covid-FM-139</t>
  </si>
  <si>
    <t>Covid-FM-140</t>
  </si>
  <si>
    <t>Covid-FM-141</t>
  </si>
  <si>
    <t>Covid-FM-142</t>
  </si>
  <si>
    <t>Micropipetas Multicanal (8 canales ) 0.5-5 0tl</t>
  </si>
  <si>
    <t>Covid-FM-143</t>
  </si>
  <si>
    <t>Covid-FM-144</t>
  </si>
  <si>
    <t>Covid-FM-145</t>
  </si>
  <si>
    <t>Covid-FM-146</t>
  </si>
  <si>
    <t>Covid-FM-147</t>
  </si>
  <si>
    <t>Covid-FM-148</t>
  </si>
  <si>
    <t>Covid-FM-149</t>
  </si>
  <si>
    <t>Covid-FM-150</t>
  </si>
  <si>
    <t>Covid-FM-151</t>
  </si>
  <si>
    <t>Covid-FM-152</t>
  </si>
  <si>
    <t>Micropipetas Multicanal (8 canales ) 10-100 tl</t>
  </si>
  <si>
    <t>Covid-FM-153</t>
  </si>
  <si>
    <t>Covid-FM-154</t>
  </si>
  <si>
    <t>Covid-FM-155</t>
  </si>
  <si>
    <t>Covid-FM-156</t>
  </si>
  <si>
    <t>Covid-FM-157</t>
  </si>
  <si>
    <t>Covid-FM-158</t>
  </si>
  <si>
    <t>Covid-FM-159</t>
  </si>
  <si>
    <t>Covid-FM-160</t>
  </si>
  <si>
    <t>Covid-FM-161</t>
  </si>
  <si>
    <t>Covid-FM-162</t>
  </si>
  <si>
    <t>Micropipetas Multicanal (8 canales ) 20-200 tl</t>
  </si>
  <si>
    <t>Covid-FM-163</t>
  </si>
  <si>
    <t>Covid-FM-164</t>
  </si>
  <si>
    <t>Covid-FM-165</t>
  </si>
  <si>
    <t>Covid-FM-166</t>
  </si>
  <si>
    <t>Covid-FM-167</t>
  </si>
  <si>
    <t>Covid-FM-168</t>
  </si>
  <si>
    <t>Covid-FM-169</t>
  </si>
  <si>
    <t>Covid-FM-170</t>
  </si>
  <si>
    <t>Covid-FM-171</t>
  </si>
  <si>
    <t>Covid-FM-172</t>
  </si>
  <si>
    <t>Propipetas Electricas</t>
  </si>
  <si>
    <t>Covid-FM-173</t>
  </si>
  <si>
    <t>Covid-FM-174</t>
  </si>
  <si>
    <t>Magneto P/Tubos Conico de 1.5ml</t>
  </si>
  <si>
    <t>Transf. 70</t>
  </si>
  <si>
    <t>Covid-FM-176-179</t>
  </si>
  <si>
    <r>
      <t>VITEK 2 COMPACT, BIOMERIEUX, (CAT#
4700734)</t>
    </r>
    <r>
      <rPr>
        <b/>
        <sz val="11"/>
        <color theme="1"/>
        <rFont val="Arial"/>
        <family val="2"/>
      </rPr>
      <t xml:space="preserve"> Cantidad: 4  y Pruebas Genomicas </t>
    </r>
    <r>
      <rPr>
        <sz val="11"/>
        <color theme="1"/>
        <rFont val="Arial"/>
        <family val="2"/>
      </rPr>
      <t xml:space="preserve"> (Kit TEST KIT, BIOMERIEUX, 20 CARDS/
KIT)</t>
    </r>
  </si>
  <si>
    <t>VK2C23662;   VK2C23663;    VK2C23664;   VK2C23762.</t>
  </si>
  <si>
    <t>GC LAB DOMINICANA, SRL</t>
  </si>
  <si>
    <t>Transf. 190</t>
  </si>
  <si>
    <r>
      <t xml:space="preserve">Tubo de Prueba  12 x 75 ML Fishe </t>
    </r>
    <r>
      <rPr>
        <b/>
        <sz val="11"/>
        <color theme="1"/>
        <rFont val="Calibri"/>
        <family val="2"/>
        <scheme val="minor"/>
      </rPr>
      <t>Cantidad: 3 Cajas (2000 Unidad )</t>
    </r>
  </si>
  <si>
    <t>Transf. 192</t>
  </si>
  <si>
    <t>Covid-FM 01</t>
  </si>
  <si>
    <t>Tablet Samsung Galaxy Tab A8 10.5 362G, color (Pink)</t>
  </si>
  <si>
    <t>R9YT6167KPK</t>
  </si>
  <si>
    <t xml:space="preserve">CONAVIHSIDA </t>
  </si>
  <si>
    <t xml:space="preserve">Cajufa </t>
  </si>
  <si>
    <t>Covid-FM 02</t>
  </si>
  <si>
    <t>R9YT70N0QMZ</t>
  </si>
  <si>
    <t>Covid-FM 03</t>
  </si>
  <si>
    <t>R9YT70N0RJV</t>
  </si>
  <si>
    <t>Covid-FM 04</t>
  </si>
  <si>
    <t>R9YT70N0SHB</t>
  </si>
  <si>
    <t>Covid-FM 05</t>
  </si>
  <si>
    <t>R9YT6167J8D</t>
  </si>
  <si>
    <t>Covid-FM 06</t>
  </si>
  <si>
    <t>R9YT70N0SLH</t>
  </si>
  <si>
    <t>Covid-FM 07</t>
  </si>
  <si>
    <t>R9YT70N0PRR</t>
  </si>
  <si>
    <t>Covid-FM 08</t>
  </si>
  <si>
    <t>R9YT70N0PVA</t>
  </si>
  <si>
    <t>Covid-FM 09</t>
  </si>
  <si>
    <t>R9YT70N0RQZ</t>
  </si>
  <si>
    <t>Covid-FM 10</t>
  </si>
  <si>
    <t>R9YT70N0RLP</t>
  </si>
  <si>
    <t>Covid-FM 11</t>
  </si>
  <si>
    <t>Covid-FM 12</t>
  </si>
  <si>
    <t>R9YT70N0S7L</t>
  </si>
  <si>
    <t>Covid-FM 13</t>
  </si>
  <si>
    <t>R9YT70N0RHH</t>
  </si>
  <si>
    <t>Covid-FM 14</t>
  </si>
  <si>
    <t>R9YT70N0RRD</t>
  </si>
  <si>
    <t>Covid-FM 15</t>
  </si>
  <si>
    <t>R9YT70N0RZW</t>
  </si>
  <si>
    <t>Covid-FM 16</t>
  </si>
  <si>
    <t>R9YT70N0RYR</t>
  </si>
  <si>
    <t>Covid-FM 17</t>
  </si>
  <si>
    <t>R9YT70N0S5E</t>
  </si>
  <si>
    <t>Covid-FM 18</t>
  </si>
  <si>
    <t>R9YT70N0RPL</t>
  </si>
  <si>
    <t>Covid-FM 19</t>
  </si>
  <si>
    <t>R9YT70N0QQM</t>
  </si>
  <si>
    <t>Covid-FM 20</t>
  </si>
  <si>
    <t>R9YT6167JTD</t>
  </si>
  <si>
    <t>Covid-FM 21</t>
  </si>
  <si>
    <t>R9YT6167K6V</t>
  </si>
  <si>
    <t>Covid-FM 22</t>
  </si>
  <si>
    <t>R9YT6167LJL</t>
  </si>
  <si>
    <t>Covid-FM 23</t>
  </si>
  <si>
    <t>R9YT6167KEB</t>
  </si>
  <si>
    <t>Covid-FM 24</t>
  </si>
  <si>
    <t>R9YT6167LGZ</t>
  </si>
  <si>
    <t>Covid-FM 25</t>
  </si>
  <si>
    <t>R9YT6167JKY</t>
  </si>
  <si>
    <t>Covid-FM 26</t>
  </si>
  <si>
    <t>R9YT6167K5T</t>
  </si>
  <si>
    <t>Covid-FM 27</t>
  </si>
  <si>
    <t>R9YT6167K1X</t>
  </si>
  <si>
    <t>Covid-FM 28</t>
  </si>
  <si>
    <t>R9YT6167JQH</t>
  </si>
  <si>
    <t>Covid-FM 29</t>
  </si>
  <si>
    <t>R9YT6167K8H</t>
  </si>
  <si>
    <t>Covid-FM 30</t>
  </si>
  <si>
    <t>R9YT6167KWN</t>
  </si>
  <si>
    <t>Covid-FM 31</t>
  </si>
  <si>
    <t>R9YT6167LBH</t>
  </si>
  <si>
    <t>Covid-FM 32</t>
  </si>
  <si>
    <t>R9YT6167JBB</t>
  </si>
  <si>
    <t>Covid-FM 33</t>
  </si>
  <si>
    <t>R9YT6167L6Y</t>
  </si>
  <si>
    <t>Covid-FM 34</t>
  </si>
  <si>
    <t>R9YT6167L8T</t>
  </si>
  <si>
    <t>Covid-FM 35</t>
  </si>
  <si>
    <t>R9YT6167KJR</t>
  </si>
  <si>
    <t>Covid-FM 36</t>
  </si>
  <si>
    <t>R9YT6167KXD</t>
  </si>
  <si>
    <t>Covid-FM 37</t>
  </si>
  <si>
    <t>R9YT6167KNY</t>
  </si>
  <si>
    <t>Covid-FM 38</t>
  </si>
  <si>
    <t>R9YT6167JEJ</t>
  </si>
  <si>
    <t>Covid-FM 39</t>
  </si>
  <si>
    <t>R9YT70N0RME</t>
  </si>
  <si>
    <t>Covid-FM 40</t>
  </si>
  <si>
    <t>R9YT70N0S8Z</t>
  </si>
  <si>
    <t>Covid-FM 41</t>
  </si>
  <si>
    <t>R9YT70N0S1H</t>
  </si>
  <si>
    <t>Covid-FM 42</t>
  </si>
  <si>
    <t>R9YT70N0PSW</t>
  </si>
  <si>
    <t>Covid-FM 43</t>
  </si>
  <si>
    <t>R9YT70N0QND</t>
  </si>
  <si>
    <t>Covid-FM 44</t>
  </si>
  <si>
    <t>R9YT70N0QGK</t>
  </si>
  <si>
    <t>Covid-FM 45</t>
  </si>
  <si>
    <t>R9YT70N0SCT</t>
  </si>
  <si>
    <t>Covid-FM 46</t>
  </si>
  <si>
    <t>R9YT70N0RXX</t>
  </si>
  <si>
    <t>Covid-FM 47</t>
  </si>
  <si>
    <t>R9YT70N0SBM</t>
  </si>
  <si>
    <t>Covid-FM 48</t>
  </si>
  <si>
    <t>R9YT70N0SAF</t>
  </si>
  <si>
    <t>Covid-FM 49</t>
  </si>
  <si>
    <t>Covid-FM 50</t>
  </si>
  <si>
    <t>Covid-FM 51</t>
  </si>
  <si>
    <t>Tablet Samsung Galaxy Tab A8 10.5 362G, color (Silver)</t>
  </si>
  <si>
    <t>Covid-FM 52</t>
  </si>
  <si>
    <t>Covid-FM 53</t>
  </si>
  <si>
    <t>Covid-FM 54</t>
  </si>
  <si>
    <t>Covid-FM 55</t>
  </si>
  <si>
    <t>Covid-FM 56</t>
  </si>
  <si>
    <t>Covid-FM 57</t>
  </si>
  <si>
    <t>Covid-FM 58</t>
  </si>
  <si>
    <t>Covid-FM 59</t>
  </si>
  <si>
    <t>Covid-FM 60</t>
  </si>
  <si>
    <t>Covid-FM 61</t>
  </si>
  <si>
    <t>Covid-FM 62</t>
  </si>
  <si>
    <t>Covid-FM 63</t>
  </si>
  <si>
    <t>Covid-FM 64</t>
  </si>
  <si>
    <t>Covid-FM 65</t>
  </si>
  <si>
    <t>Covid-FM 66</t>
  </si>
  <si>
    <t>Covid-FM 67</t>
  </si>
  <si>
    <t>Covid-FM 68</t>
  </si>
  <si>
    <t>Covid-FM 69</t>
  </si>
  <si>
    <t>Covid-FM 70</t>
  </si>
  <si>
    <t>Covid-FM 71</t>
  </si>
  <si>
    <t>Covid-FM 72</t>
  </si>
  <si>
    <t>Covid-FM 73</t>
  </si>
  <si>
    <t>Covid-FM 74</t>
  </si>
  <si>
    <t>Covid-FM 75</t>
  </si>
  <si>
    <t>Covid-FM 76</t>
  </si>
  <si>
    <t>Covid-FM 77</t>
  </si>
  <si>
    <t>Covid-FM 78</t>
  </si>
  <si>
    <t>Covid-FM 79</t>
  </si>
  <si>
    <t>Covid-FM 80</t>
  </si>
  <si>
    <t>Covid-FM 81</t>
  </si>
  <si>
    <t>Covid-FM 82</t>
  </si>
  <si>
    <t>Covid-FM 83</t>
  </si>
  <si>
    <t>Covid-FM 84</t>
  </si>
  <si>
    <t>Covid-FM 85</t>
  </si>
  <si>
    <t>Covid-FM 86</t>
  </si>
  <si>
    <t>Covid-FM 87</t>
  </si>
  <si>
    <t>Covid-FM 88</t>
  </si>
  <si>
    <t>Covid-FM 89</t>
  </si>
  <si>
    <t>Covid-FM 90</t>
  </si>
  <si>
    <t>Covid-FM 91</t>
  </si>
  <si>
    <t>Covid-FM 92</t>
  </si>
  <si>
    <t>Covid-FM 93</t>
  </si>
  <si>
    <t>Covid-FM 94</t>
  </si>
  <si>
    <t>Covid-FM 95</t>
  </si>
  <si>
    <t>Covid-FM 96</t>
  </si>
  <si>
    <t>Covid-FM 97</t>
  </si>
  <si>
    <t>Covid-FM 98</t>
  </si>
  <si>
    <t>Covid-FM 99</t>
  </si>
  <si>
    <t>Covid-FM 100</t>
  </si>
  <si>
    <t>Transf. 119</t>
  </si>
  <si>
    <t>FM05-02421</t>
  </si>
  <si>
    <t>FREEZER PEQUEÑO  DE  UNA PUERTAS PARA LABORATORIO, MARCA: THEMO SCIENTIFIC</t>
  </si>
  <si>
    <t>PAN AMEICAN SANITARY BUREAU</t>
  </si>
  <si>
    <t>FM05-02415</t>
  </si>
  <si>
    <r>
      <t xml:space="preserve">FREEZER PEQUEÑO  DE  UNA PUERTAS PARA LABORATORIO, </t>
    </r>
    <r>
      <rPr>
        <b/>
        <sz val="11"/>
        <rFont val="Calibri"/>
        <family val="2"/>
        <scheme val="minor"/>
      </rPr>
      <t>MARCA: THEMO SCIENTIFIC</t>
    </r>
  </si>
  <si>
    <t>FM05-02411</t>
  </si>
  <si>
    <r>
      <t xml:space="preserve">FREEZER VERTICAL DE TRES PUERTAS PARA LABORATORIO, </t>
    </r>
    <r>
      <rPr>
        <b/>
        <sz val="11"/>
        <rFont val="Calibri"/>
        <family val="2"/>
        <scheme val="minor"/>
      </rPr>
      <t>MARCA: THEMO SCIENTIFIC</t>
    </r>
  </si>
  <si>
    <t>FM05-02412</t>
  </si>
  <si>
    <t>FM05-02413</t>
  </si>
  <si>
    <t xml:space="preserve">FREEZER THERMO SCIENTIFIC </t>
  </si>
  <si>
    <t>FM05-02414</t>
  </si>
  <si>
    <t>FM05-02422</t>
  </si>
  <si>
    <t>FM05-02418</t>
  </si>
  <si>
    <t>FREEZER FISHERBRAND PARA LABORATORIO</t>
  </si>
  <si>
    <t>FM05-02417</t>
  </si>
  <si>
    <t>FM05-02420</t>
  </si>
  <si>
    <t>Transf. 198</t>
  </si>
  <si>
    <t>Covid-FM-180</t>
  </si>
  <si>
    <t>Balanza Analitica ,Para Laboratorio Sartorius, Voltaje 100-240V</t>
  </si>
  <si>
    <t>Covid-FM-181</t>
  </si>
  <si>
    <t>v &lt;</t>
  </si>
  <si>
    <t>Covid-FM-182</t>
  </si>
  <si>
    <t>Covid-FM-183</t>
  </si>
  <si>
    <t>Covid-FM-184</t>
  </si>
  <si>
    <t>Mini CentrifugasFisherbrand para 6 tubos, Voltaje 100-240V</t>
  </si>
  <si>
    <t>Covid-FM-185</t>
  </si>
  <si>
    <t>Covid-FM-186</t>
  </si>
  <si>
    <t>Covid-FM-187</t>
  </si>
  <si>
    <t>Covid-FM-188</t>
  </si>
  <si>
    <t>Mezclador Vortex Estándar /Voltaje 100-240V</t>
  </si>
  <si>
    <t>Covid-FM-189</t>
  </si>
  <si>
    <t>Covid-FM-190</t>
  </si>
  <si>
    <t>Covid-FM-191</t>
  </si>
  <si>
    <t>Covid-FM-192</t>
  </si>
  <si>
    <t>Medidor de PH Fisherbrand, Modelo: de sobremesa/Voltaje 100-240V</t>
  </si>
  <si>
    <t>Covid-FM-193</t>
  </si>
  <si>
    <t>Covid-FM-194</t>
  </si>
  <si>
    <t>Covid-FM-195</t>
  </si>
  <si>
    <t>Transf. 197</t>
  </si>
  <si>
    <t>Covid-FM-196</t>
  </si>
  <si>
    <t>Gabinete de 6 Pies , Cantidad: 5</t>
  </si>
  <si>
    <t>Covid-FM-197</t>
  </si>
  <si>
    <t>Gabinete de 4 Pies , Cantidad: 5</t>
  </si>
  <si>
    <t>Transf. 258</t>
  </si>
  <si>
    <t>Covid-FM-175  - Covid-FM-474</t>
  </si>
  <si>
    <r>
      <t xml:space="preserve">Neverita con Termometro Integrado .                              (Para Muestras Biologicas) </t>
    </r>
    <r>
      <rPr>
        <b/>
        <sz val="11"/>
        <color theme="1"/>
        <rFont val="Calibri"/>
        <family val="2"/>
        <scheme val="minor"/>
      </rPr>
      <t xml:space="preserve">Cantidad: 300 Unidades </t>
    </r>
  </si>
  <si>
    <t>Registrado en SIAB</t>
  </si>
  <si>
    <t>Transf. 289</t>
  </si>
  <si>
    <t>MAC4K DR100 Equipo de Rayos X Con  Sus Accesorios AGFA, modelo DR100S, versión software NX 3.0</t>
  </si>
  <si>
    <t xml:space="preserve">NO.10342  </t>
  </si>
  <si>
    <t>Unique Representaciones S.R.L.</t>
  </si>
  <si>
    <t>Transf. 308</t>
  </si>
  <si>
    <t>Pipetas Plasticas Desechables Graduadas de 5 ML</t>
  </si>
  <si>
    <t xml:space="preserve">CEREMO </t>
  </si>
  <si>
    <t>Transf. 120</t>
  </si>
  <si>
    <r>
      <t xml:space="preserve">Auto Clave de Sobremesa Completo (Esterizador a Vapor) </t>
    </r>
    <r>
      <rPr>
        <b/>
        <sz val="11"/>
        <color theme="1"/>
        <rFont val="Calibri"/>
        <family val="2"/>
        <scheme val="minor"/>
      </rPr>
      <t xml:space="preserve">Cantidad:3 </t>
    </r>
  </si>
  <si>
    <t>CAT LS200820</t>
  </si>
  <si>
    <r>
      <t xml:space="preserve">Incubadora IMH180-5 55 Termo Cientifico Heratherm. </t>
    </r>
    <r>
      <rPr>
        <b/>
        <sz val="11"/>
        <color theme="1"/>
        <rFont val="Calibri"/>
        <family val="2"/>
        <scheme val="minor"/>
      </rPr>
      <t>Cantidad 3</t>
    </r>
    <r>
      <rPr>
        <sz val="11"/>
        <color theme="1"/>
        <rFont val="Calibri"/>
        <family val="2"/>
        <scheme val="minor"/>
      </rPr>
      <t xml:space="preserve"> ( Exterior de Acero Inoxidable)</t>
    </r>
  </si>
  <si>
    <t>CATH 51020543</t>
  </si>
  <si>
    <r>
      <t xml:space="preserve">Incubadora  MH400 Heratem Termosicentifico </t>
    </r>
    <r>
      <rPr>
        <b/>
        <sz val="11"/>
        <color theme="1"/>
        <rFont val="Calibri"/>
        <family val="2"/>
        <scheme val="minor"/>
      </rPr>
      <t>Cantidad:3</t>
    </r>
  </si>
  <si>
    <t>CATE  51-029-323H</t>
  </si>
  <si>
    <r>
      <t xml:space="preserve">Horno de Calentamiento y Secado de uso General Isotemp de Fisherbrano. 250 C Voltaje 120V, </t>
    </r>
    <r>
      <rPr>
        <b/>
        <sz val="11"/>
        <color theme="1"/>
        <rFont val="Calibri"/>
        <family val="2"/>
        <scheme val="minor"/>
      </rPr>
      <t>Cantidad:2</t>
    </r>
  </si>
  <si>
    <t>CAT 151030512</t>
  </si>
  <si>
    <t xml:space="preserve">          INVENTARIO GENERAL DE EQUIPOS Y MOBILIARIOS DE OFICINA - PROYECTO COVID 19 CRM.</t>
  </si>
  <si>
    <t xml:space="preserve">         ACTIVOS FIJOS ACUMULADO AL 31 DE DICIEMBRE  , 2023.</t>
  </si>
  <si>
    <t>ACTIVOS FIJOS -ACUMULADO AL 31 DE  DICIEMBRE,2023</t>
  </si>
  <si>
    <t xml:space="preserve">        ACTIVOS FIJOS ACUMULADO AL 31 DE  DICIEMBRE ,2023.</t>
  </si>
  <si>
    <t xml:space="preserve">         ACTIVOS FIJOS ACUMULADO AL 31 DICIEMBRE , 2023.</t>
  </si>
  <si>
    <t xml:space="preserve">        ACTIVOS FIJOS ACUMULADO AL 31 DICIEMBRE,2023</t>
  </si>
  <si>
    <r>
      <rPr>
        <b/>
        <sz val="10"/>
        <color indexed="10"/>
        <rFont val="Arial"/>
        <family val="2"/>
      </rPr>
      <t xml:space="preserve">        Nota_4:</t>
    </r>
    <r>
      <rPr>
        <b/>
        <sz val="10"/>
        <color indexed="18"/>
        <rFont val="Arial"/>
        <family val="2"/>
      </rPr>
      <t xml:space="preserve"> En Nuestro levantamiento realizado en Octubre del año 2023 </t>
    </r>
  </si>
  <si>
    <t>de adquisiciones de 103,744.26 pesos y en estatus  no encontrado por deterioro 83,722.90</t>
  </si>
  <si>
    <t xml:space="preserve">Encontramos 10 activos en estatus dañado que restan un valor en costo  </t>
  </si>
  <si>
    <t>Diciembre,2023</t>
  </si>
  <si>
    <t>Diciembre, 2023.</t>
  </si>
  <si>
    <t>Diciembre ,2023.</t>
  </si>
  <si>
    <t xml:space="preserve">Yoel Mieses </t>
  </si>
  <si>
    <t>_____________________________________________________</t>
  </si>
  <si>
    <t>____________________________________________________________________________________________________________________________________________________________________________________________________________</t>
  </si>
  <si>
    <t>___________________________________________________________________________________________________________________________________________________________________________________________________________</t>
  </si>
  <si>
    <r>
      <rPr>
        <b/>
        <sz val="12"/>
        <color indexed="10"/>
        <rFont val="Arial"/>
        <family val="2"/>
      </rPr>
      <t xml:space="preserve">          Nota _1</t>
    </r>
    <r>
      <rPr>
        <sz val="12"/>
        <color theme="1"/>
        <rFont val="Calibri"/>
        <family val="2"/>
        <scheme val="minor"/>
      </rPr>
      <t>:</t>
    </r>
    <r>
      <rPr>
        <sz val="12"/>
        <color indexed="56"/>
        <rFont val="Arial"/>
        <family val="2"/>
      </rPr>
      <t xml:space="preserve"> </t>
    </r>
    <r>
      <rPr>
        <b/>
        <sz val="12"/>
        <color indexed="56"/>
        <rFont val="Arial"/>
        <family val="2"/>
      </rPr>
      <t>Informe de los Activos Fijos Acumulado al 31 de Diciembre, 2023</t>
    </r>
  </si>
  <si>
    <r>
      <rPr>
        <b/>
        <sz val="12"/>
        <color indexed="10"/>
        <rFont val="Arial"/>
        <family val="2"/>
      </rPr>
      <t xml:space="preserve">       Nota_2:</t>
    </r>
    <r>
      <rPr>
        <b/>
        <sz val="12"/>
        <color indexed="18"/>
        <rFont val="Arial"/>
        <family val="2"/>
      </rPr>
      <t xml:space="preserve"> </t>
    </r>
    <r>
      <rPr>
        <b/>
        <sz val="12"/>
        <color indexed="56"/>
        <rFont val="Arial"/>
        <family val="2"/>
      </rPr>
      <t xml:space="preserve">Algunos de los bienes fueron descargado por deterioro a  la </t>
    </r>
  </si>
  <si>
    <r>
      <t xml:space="preserve">Nota_3: </t>
    </r>
    <r>
      <rPr>
        <b/>
        <sz val="12"/>
        <color indexed="56"/>
        <rFont val="Arial"/>
        <family val="2"/>
      </rPr>
      <t xml:space="preserve">Dentro de este listado se encuentran activos que en nuetro levantamiento en el 2021 no fueron identificados </t>
    </r>
  </si>
  <si>
    <t>Lic.Yoel Mieses</t>
  </si>
  <si>
    <t xml:space="preserve">Tecnico de Control Interno </t>
  </si>
  <si>
    <t>__________________________</t>
  </si>
  <si>
    <t>Lic. Yoel Mieses</t>
  </si>
  <si>
    <t>______________________________________</t>
  </si>
  <si>
    <t>_____________________________</t>
  </si>
  <si>
    <t xml:space="preserve">Lic.Yoel Mieses </t>
  </si>
  <si>
    <t>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</si>
</sst>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-* #,##0.00\ _€_-;\-* #,##0.00\ _€_-;_-* &quot;-&quot;??\ _€_-;_-@_-"/>
    <numFmt numFmtId="166" formatCode="[$-C0A]dd\-mmm\-yy;@"/>
  </numFmts>
  <fonts count="9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color indexed="18"/>
      <name val="Arial"/>
      <family val="2"/>
    </font>
    <font>
      <sz val="10"/>
      <name val="Arial"/>
      <family val="2"/>
    </font>
    <font>
      <b/>
      <sz val="16"/>
      <color indexed="18"/>
      <name val="Arial"/>
      <family val="2"/>
    </font>
    <font>
      <sz val="16"/>
      <name val="Arial"/>
      <family val="2"/>
    </font>
    <font>
      <sz val="14"/>
      <name val="Arial"/>
      <family val="2"/>
    </font>
    <font>
      <b/>
      <sz val="14"/>
      <color indexed="18"/>
      <name val="Arial"/>
      <family val="2"/>
    </font>
    <font>
      <b/>
      <sz val="16"/>
      <color indexed="20"/>
      <name val="Arial"/>
      <family val="2"/>
    </font>
    <font>
      <b/>
      <sz val="14"/>
      <color indexed="20"/>
      <name val="Arial"/>
      <family val="2"/>
    </font>
    <font>
      <b/>
      <sz val="10"/>
      <name val="Tahoma"/>
      <family val="2"/>
    </font>
    <font>
      <b/>
      <sz val="9"/>
      <name val="Tahoma"/>
      <family val="2"/>
    </font>
    <font>
      <b/>
      <sz val="8"/>
      <name val="Tahoma"/>
      <family val="2"/>
    </font>
    <font>
      <sz val="10"/>
      <name val="Tahoma"/>
      <family val="2"/>
    </font>
    <font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i/>
      <sz val="11"/>
      <name val="Arial"/>
      <family val="2"/>
    </font>
    <font>
      <b/>
      <i/>
      <sz val="8"/>
      <name val="Arial"/>
      <family val="2"/>
    </font>
    <font>
      <b/>
      <i/>
      <sz val="10"/>
      <color indexed="12"/>
      <name val="Arial"/>
      <family val="2"/>
    </font>
    <font>
      <b/>
      <sz val="11"/>
      <name val="Arial"/>
      <family val="2"/>
    </font>
    <font>
      <b/>
      <sz val="11"/>
      <color indexed="18"/>
      <name val="Arial"/>
      <family val="2"/>
    </font>
    <font>
      <b/>
      <sz val="9"/>
      <name val="Arial"/>
      <family val="2"/>
    </font>
    <font>
      <sz val="10"/>
      <color indexed="10"/>
      <name val="Arial"/>
      <family val="2"/>
    </font>
    <font>
      <sz val="8"/>
      <name val="Tahoma"/>
      <family val="2"/>
    </font>
    <font>
      <b/>
      <sz val="11"/>
      <color indexed="10"/>
      <name val="Arial"/>
      <family val="2"/>
    </font>
    <font>
      <b/>
      <i/>
      <sz val="8"/>
      <color indexed="12"/>
      <name val="Arial"/>
      <family val="2"/>
    </font>
    <font>
      <b/>
      <i/>
      <sz val="8"/>
      <color indexed="48"/>
      <name val="Arial"/>
      <family val="2"/>
    </font>
    <font>
      <b/>
      <sz val="11"/>
      <color indexed="9"/>
      <name val="Arial"/>
      <family val="2"/>
    </font>
    <font>
      <b/>
      <sz val="8"/>
      <color indexed="10"/>
      <name val="Arial"/>
      <family val="2"/>
    </font>
    <font>
      <b/>
      <i/>
      <sz val="12"/>
      <name val="Arial"/>
      <family val="2"/>
    </font>
    <font>
      <b/>
      <i/>
      <sz val="11"/>
      <color indexed="20"/>
      <name val="Arial"/>
      <family val="2"/>
    </font>
    <font>
      <b/>
      <sz val="10"/>
      <color indexed="18"/>
      <name val="Arial"/>
      <family val="2"/>
    </font>
    <font>
      <b/>
      <i/>
      <sz val="10"/>
      <color indexed="48"/>
      <name val="Arial"/>
      <family val="2"/>
    </font>
    <font>
      <b/>
      <u/>
      <sz val="11"/>
      <color indexed="10"/>
      <name val="Arial"/>
      <family val="2"/>
    </font>
    <font>
      <sz val="10"/>
      <color indexed="8"/>
      <name val="MS Sans Serif"/>
      <family val="2"/>
    </font>
    <font>
      <b/>
      <sz val="9"/>
      <color indexed="20"/>
      <name val="Arial"/>
      <family val="2"/>
    </font>
    <font>
      <b/>
      <sz val="10"/>
      <color indexed="12"/>
      <name val="Arial"/>
      <family val="2"/>
    </font>
    <font>
      <b/>
      <sz val="14"/>
      <color indexed="16"/>
      <name val="Arial"/>
      <family val="2"/>
    </font>
    <font>
      <b/>
      <i/>
      <sz val="9"/>
      <name val="Arial"/>
      <family val="2"/>
    </font>
    <font>
      <b/>
      <sz val="8"/>
      <color indexed="18"/>
      <name val="Arial"/>
      <family val="2"/>
    </font>
    <font>
      <b/>
      <sz val="11"/>
      <name val="Tahoma"/>
      <family val="2"/>
    </font>
    <font>
      <b/>
      <sz val="10"/>
      <color indexed="9"/>
      <name val="Verdana"/>
      <family val="2"/>
    </font>
    <font>
      <b/>
      <i/>
      <sz val="9"/>
      <name val="Arial Black"/>
      <family val="2"/>
    </font>
    <font>
      <b/>
      <sz val="9"/>
      <color indexed="18"/>
      <name val="Arial"/>
      <family val="2"/>
    </font>
    <font>
      <sz val="8"/>
      <name val="MS Sans Serif"/>
      <family val="2"/>
    </font>
    <font>
      <b/>
      <sz val="10"/>
      <color indexed="10"/>
      <name val="Arial"/>
      <family val="2"/>
    </font>
    <font>
      <b/>
      <sz val="16"/>
      <color rgb="FFFF0000"/>
      <name val="Arial"/>
      <family val="2"/>
    </font>
    <font>
      <b/>
      <sz val="14"/>
      <color rgb="FF002060"/>
      <name val="Arial"/>
      <family val="2"/>
    </font>
    <font>
      <b/>
      <sz val="14"/>
      <color theme="1"/>
      <name val="Arial"/>
      <family val="2"/>
    </font>
    <font>
      <sz val="8"/>
      <color theme="3" tint="0.39997558519241921"/>
      <name val="Arial"/>
      <family val="2"/>
    </font>
    <font>
      <sz val="11"/>
      <color theme="1"/>
      <name val="Arial"/>
      <family val="2"/>
    </font>
    <font>
      <b/>
      <sz val="10"/>
      <color theme="3" tint="0.39997558519241921"/>
      <name val="Arial"/>
      <family val="2"/>
    </font>
    <font>
      <b/>
      <sz val="8"/>
      <color theme="3" tint="0.39997558519241921"/>
      <name val="Arial"/>
      <family val="2"/>
    </font>
    <font>
      <sz val="8"/>
      <color theme="3" tint="0.39997558519241921"/>
      <name val="Tahoma"/>
      <family val="2"/>
    </font>
    <font>
      <sz val="10"/>
      <color theme="3" tint="0.39997558519241921"/>
      <name val="Arial"/>
      <family val="2"/>
    </font>
    <font>
      <sz val="10"/>
      <color theme="3" tint="0.39997558519241921"/>
      <name val="Tahoma"/>
      <family val="2"/>
    </font>
    <font>
      <b/>
      <sz val="16"/>
      <color rgb="FFCC0000"/>
      <name val="Aharoni"/>
      <family val="2"/>
    </font>
    <font>
      <b/>
      <sz val="20"/>
      <color rgb="FFCC0000"/>
      <name val="Aharoni"/>
      <family val="2"/>
    </font>
    <font>
      <b/>
      <sz val="10"/>
      <color rgb="FF002060"/>
      <name val="Arial"/>
      <family val="2"/>
    </font>
    <font>
      <b/>
      <sz val="11"/>
      <color theme="4"/>
      <name val="Arial"/>
      <family val="2"/>
    </font>
    <font>
      <b/>
      <sz val="10"/>
      <color theme="4"/>
      <name val="Arial"/>
      <family val="2"/>
    </font>
    <font>
      <b/>
      <sz val="10"/>
      <color theme="4" tint="-0.499984740745262"/>
      <name val="Arial"/>
      <family val="2"/>
    </font>
    <font>
      <sz val="11"/>
      <name val="Calibri"/>
      <family val="2"/>
      <scheme val="minor"/>
    </font>
    <font>
      <b/>
      <i/>
      <sz val="12"/>
      <color rgb="FF002060"/>
      <name val="Arial"/>
      <family val="2"/>
    </font>
    <font>
      <sz val="11"/>
      <color rgb="FF9C0006"/>
      <name val="Calibri"/>
      <family val="2"/>
      <scheme val="minor"/>
    </font>
    <font>
      <b/>
      <sz val="10"/>
      <color indexed="9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20"/>
      <color rgb="FFCC0000"/>
      <name val="Arial"/>
      <family val="2"/>
    </font>
    <font>
      <sz val="11"/>
      <name val="Tahoma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.5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color indexed="18"/>
      <name val="Arial"/>
      <family val="2"/>
    </font>
    <font>
      <b/>
      <sz val="12"/>
      <color indexed="10"/>
      <name val="Arial"/>
      <family val="2"/>
    </font>
    <font>
      <sz val="12"/>
      <color theme="1"/>
      <name val="Calibri"/>
      <family val="2"/>
      <scheme val="minor"/>
    </font>
    <font>
      <sz val="12"/>
      <color indexed="56"/>
      <name val="Arial"/>
      <family val="2"/>
    </font>
    <font>
      <b/>
      <sz val="12"/>
      <color indexed="56"/>
      <name val="Arial"/>
      <family val="2"/>
    </font>
    <font>
      <b/>
      <i/>
      <sz val="12"/>
      <color indexed="12"/>
      <name val="Arial"/>
      <family val="2"/>
    </font>
    <font>
      <sz val="12"/>
      <name val="Arial"/>
      <family val="2"/>
    </font>
    <font>
      <b/>
      <sz val="12"/>
      <color rgb="FF002060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b/>
      <i/>
      <sz val="12"/>
      <name val="Arial Black"/>
      <family val="2"/>
    </font>
    <font>
      <b/>
      <i/>
      <sz val="10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7CE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7" fillId="0" borderId="0"/>
    <xf numFmtId="0" fontId="67" fillId="13" borderId="0" applyNumberFormat="0" applyBorder="0" applyAlignment="0" applyProtection="0"/>
  </cellStyleXfs>
  <cellXfs count="885">
    <xf numFmtId="0" fontId="0" fillId="0" borderId="0" xfId="0"/>
    <xf numFmtId="0" fontId="1" fillId="0" borderId="0" xfId="9" applyFont="1" applyProtection="1">
      <protection locked="0"/>
    </xf>
    <xf numFmtId="0" fontId="1" fillId="0" borderId="0" xfId="9" applyFont="1" applyAlignment="1" applyProtection="1">
      <alignment horizontal="left"/>
      <protection locked="0"/>
    </xf>
    <xf numFmtId="0" fontId="1" fillId="0" borderId="0" xfId="9" applyFont="1" applyAlignment="1">
      <alignment horizontal="center"/>
    </xf>
    <xf numFmtId="0" fontId="1" fillId="0" borderId="0" xfId="9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8" borderId="0" xfId="9" applyFont="1" applyFill="1" applyAlignment="1" applyProtection="1">
      <alignment horizontal="center" vertical="center"/>
      <protection locked="0"/>
    </xf>
    <xf numFmtId="0" fontId="2" fillId="0" borderId="0" xfId="9" applyFont="1" applyProtection="1">
      <protection locked="0"/>
    </xf>
    <xf numFmtId="0" fontId="3" fillId="0" borderId="0" xfId="9" applyFont="1" applyProtection="1">
      <protection locked="0"/>
    </xf>
    <xf numFmtId="0" fontId="4" fillId="0" borderId="0" xfId="9"/>
    <xf numFmtId="0" fontId="4" fillId="0" borderId="0" xfId="9" applyAlignment="1">
      <alignment horizontal="center"/>
    </xf>
    <xf numFmtId="0" fontId="5" fillId="0" borderId="0" xfId="9" applyFont="1" applyAlignment="1" applyProtection="1">
      <alignment horizontal="left"/>
      <protection locked="0"/>
    </xf>
    <xf numFmtId="0" fontId="49" fillId="0" borderId="0" xfId="9" applyFont="1" applyAlignment="1" applyProtection="1">
      <alignment horizontal="left"/>
      <protection locked="0"/>
    </xf>
    <xf numFmtId="0" fontId="6" fillId="0" borderId="0" xfId="9" applyFont="1" applyProtection="1">
      <protection locked="0"/>
    </xf>
    <xf numFmtId="0" fontId="50" fillId="0" borderId="0" xfId="9" applyFont="1" applyAlignment="1" applyProtection="1">
      <alignment horizontal="left"/>
      <protection locked="0"/>
    </xf>
    <xf numFmtId="0" fontId="7" fillId="0" borderId="0" xfId="9" applyFont="1" applyAlignment="1" applyProtection="1">
      <alignment horizontal="left"/>
      <protection locked="0"/>
    </xf>
    <xf numFmtId="0" fontId="8" fillId="0" borderId="0" xfId="9" applyFont="1" applyAlignment="1" applyProtection="1">
      <alignment horizontal="left"/>
      <protection locked="0"/>
    </xf>
    <xf numFmtId="0" fontId="9" fillId="0" borderId="0" xfId="9" applyFont="1" applyAlignment="1" applyProtection="1">
      <alignment horizontal="left" vertical="center"/>
      <protection locked="0"/>
    </xf>
    <xf numFmtId="0" fontId="51" fillId="0" borderId="0" xfId="9" applyFont="1" applyAlignment="1" applyProtection="1">
      <alignment horizontal="left" vertical="center"/>
      <protection locked="0"/>
    </xf>
    <xf numFmtId="0" fontId="7" fillId="0" borderId="0" xfId="9" applyFont="1" applyProtection="1">
      <protection locked="0"/>
    </xf>
    <xf numFmtId="0" fontId="10" fillId="0" borderId="0" xfId="9" applyFont="1" applyAlignment="1" applyProtection="1">
      <alignment horizontal="left" vertical="center"/>
      <protection locked="0"/>
    </xf>
    <xf numFmtId="0" fontId="9" fillId="0" borderId="1" xfId="9" applyFont="1" applyBorder="1" applyAlignment="1" applyProtection="1">
      <alignment horizontal="left" vertical="center"/>
      <protection locked="0"/>
    </xf>
    <xf numFmtId="0" fontId="10" fillId="0" borderId="1" xfId="9" applyFont="1" applyBorder="1" applyAlignment="1" applyProtection="1">
      <alignment horizontal="left" vertical="center"/>
      <protection locked="0"/>
    </xf>
    <xf numFmtId="15" fontId="11" fillId="9" borderId="2" xfId="0" applyNumberFormat="1" applyFont="1" applyFill="1" applyBorder="1" applyAlignment="1">
      <alignment horizontal="center" vertical="center" wrapText="1"/>
    </xf>
    <xf numFmtId="15" fontId="4" fillId="0" borderId="2" xfId="9" applyNumberFormat="1" applyBorder="1" applyAlignment="1" applyProtection="1">
      <alignment horizontal="center" vertical="center"/>
      <protection locked="0"/>
    </xf>
    <xf numFmtId="0" fontId="4" fillId="0" borderId="2" xfId="9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15" fontId="4" fillId="0" borderId="2" xfId="0" applyNumberFormat="1" applyFont="1" applyBorder="1" applyAlignment="1" applyProtection="1">
      <alignment horizontal="center" vertical="center"/>
      <protection locked="0"/>
    </xf>
    <xf numFmtId="15" fontId="4" fillId="8" borderId="2" xfId="0" applyNumberFormat="1" applyFont="1" applyFill="1" applyBorder="1" applyAlignment="1" applyProtection="1">
      <alignment horizontal="center" vertical="center"/>
      <protection locked="0"/>
    </xf>
    <xf numFmtId="0" fontId="4" fillId="8" borderId="2" xfId="0" applyFont="1" applyFill="1" applyBorder="1" applyAlignment="1" applyProtection="1">
      <alignment horizontal="center" vertical="center" wrapText="1"/>
      <protection locked="0"/>
    </xf>
    <xf numFmtId="15" fontId="12" fillId="9" borderId="2" xfId="0" applyNumberFormat="1" applyFont="1" applyFill="1" applyBorder="1" applyAlignment="1">
      <alignment horizontal="center" vertical="center" wrapText="1"/>
    </xf>
    <xf numFmtId="15" fontId="13" fillId="9" borderId="2" xfId="0" applyNumberFormat="1" applyFont="1" applyFill="1" applyBorder="1" applyAlignment="1">
      <alignment horizontal="center" vertical="center" wrapText="1"/>
    </xf>
    <xf numFmtId="43" fontId="14" fillId="0" borderId="2" xfId="3" applyFont="1" applyFill="1" applyBorder="1" applyAlignment="1" applyProtection="1">
      <alignment horizontal="center" vertical="center" wrapText="1"/>
    </xf>
    <xf numFmtId="43" fontId="4" fillId="0" borderId="2" xfId="3" applyFont="1" applyFill="1" applyBorder="1" applyAlignment="1" applyProtection="1">
      <alignment horizontal="center" vertical="center"/>
    </xf>
    <xf numFmtId="43" fontId="14" fillId="0" borderId="2" xfId="9" applyNumberFormat="1" applyFont="1" applyBorder="1" applyAlignment="1">
      <alignment horizontal="center" vertical="center"/>
    </xf>
    <xf numFmtId="164" fontId="14" fillId="0" borderId="2" xfId="9" applyNumberFormat="1" applyFont="1" applyBorder="1" applyAlignment="1">
      <alignment horizontal="center" vertical="center"/>
    </xf>
    <xf numFmtId="43" fontId="14" fillId="0" borderId="2" xfId="3" applyFont="1" applyFill="1" applyBorder="1" applyAlignment="1" applyProtection="1">
      <alignment horizontal="center" vertical="center"/>
    </xf>
    <xf numFmtId="43" fontId="14" fillId="0" borderId="2" xfId="0" applyNumberFormat="1" applyFont="1" applyBorder="1" applyAlignment="1">
      <alignment horizontal="center" vertical="center"/>
    </xf>
    <xf numFmtId="164" fontId="14" fillId="0" borderId="2" xfId="0" applyNumberFormat="1" applyFont="1" applyBorder="1" applyAlignment="1">
      <alignment horizontal="center" vertical="center"/>
    </xf>
    <xf numFmtId="43" fontId="14" fillId="8" borderId="2" xfId="3" applyFont="1" applyFill="1" applyBorder="1" applyAlignment="1" applyProtection="1">
      <alignment horizontal="center" vertical="center" wrapText="1"/>
    </xf>
    <xf numFmtId="43" fontId="4" fillId="8" borderId="2" xfId="3" applyFont="1" applyFill="1" applyBorder="1" applyAlignment="1" applyProtection="1">
      <alignment horizontal="center" vertical="center"/>
    </xf>
    <xf numFmtId="43" fontId="14" fillId="8" borderId="2" xfId="0" applyNumberFormat="1" applyFont="1" applyFill="1" applyBorder="1" applyAlignment="1">
      <alignment horizontal="center" vertical="center"/>
    </xf>
    <xf numFmtId="164" fontId="14" fillId="8" borderId="2" xfId="0" applyNumberFormat="1" applyFont="1" applyFill="1" applyBorder="1" applyAlignment="1">
      <alignment horizontal="center" vertical="center"/>
    </xf>
    <xf numFmtId="43" fontId="14" fillId="8" borderId="2" xfId="3" applyFont="1" applyFill="1" applyBorder="1" applyAlignment="1" applyProtection="1">
      <alignment horizontal="center" vertical="center"/>
    </xf>
    <xf numFmtId="49" fontId="14" fillId="0" borderId="2" xfId="3" applyNumberFormat="1" applyFont="1" applyFill="1" applyBorder="1" applyAlignment="1" applyProtection="1">
      <alignment horizontal="center" vertical="center" wrapText="1"/>
    </xf>
    <xf numFmtId="0" fontId="1" fillId="8" borderId="0" xfId="0" applyFont="1" applyFill="1" applyAlignment="1" applyProtection="1">
      <alignment horizontal="center" vertical="center"/>
      <protection locked="0"/>
    </xf>
    <xf numFmtId="43" fontId="14" fillId="0" borderId="2" xfId="8" applyFont="1" applyFill="1" applyBorder="1" applyAlignment="1" applyProtection="1">
      <alignment horizontal="center" vertical="center" wrapText="1"/>
    </xf>
    <xf numFmtId="43" fontId="4" fillId="0" borderId="2" xfId="8" applyFont="1" applyFill="1" applyBorder="1" applyAlignment="1" applyProtection="1">
      <alignment horizontal="center" vertical="center"/>
    </xf>
    <xf numFmtId="43" fontId="14" fillId="8" borderId="2" xfId="8" applyFont="1" applyFill="1" applyBorder="1" applyAlignment="1" applyProtection="1">
      <alignment horizontal="center" vertical="center" wrapText="1"/>
    </xf>
    <xf numFmtId="43" fontId="4" fillId="8" borderId="2" xfId="8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  <protection locked="0"/>
    </xf>
    <xf numFmtId="15" fontId="4" fillId="8" borderId="4" xfId="0" applyNumberFormat="1" applyFont="1" applyFill="1" applyBorder="1" applyAlignment="1" applyProtection="1">
      <alignment horizontal="center" vertical="center"/>
      <protection locked="0"/>
    </xf>
    <xf numFmtId="0" fontId="4" fillId="8" borderId="4" xfId="0" applyFont="1" applyFill="1" applyBorder="1" applyAlignment="1" applyProtection="1">
      <alignment horizontal="center" vertical="center" wrapText="1"/>
      <protection locked="0"/>
    </xf>
    <xf numFmtId="0" fontId="4" fillId="8" borderId="4" xfId="0" applyFont="1" applyFill="1" applyBorder="1" applyAlignment="1" applyProtection="1">
      <alignment horizontal="center" vertical="center"/>
      <protection locked="0"/>
    </xf>
    <xf numFmtId="43" fontId="4" fillId="0" borderId="2" xfId="3" applyFont="1" applyFill="1" applyBorder="1" applyAlignment="1" applyProtection="1">
      <alignment horizontal="center" vertical="center" wrapText="1"/>
      <protection locked="0"/>
    </xf>
    <xf numFmtId="43" fontId="14" fillId="8" borderId="4" xfId="3" applyFont="1" applyFill="1" applyBorder="1" applyAlignment="1" applyProtection="1">
      <alignment horizontal="center" vertical="center" wrapText="1"/>
    </xf>
    <xf numFmtId="43" fontId="4" fillId="8" borderId="4" xfId="3" applyFont="1" applyFill="1" applyBorder="1" applyAlignment="1" applyProtection="1">
      <alignment horizontal="center" vertical="center"/>
    </xf>
    <xf numFmtId="43" fontId="4" fillId="8" borderId="2" xfId="3" applyFont="1" applyFill="1" applyBorder="1" applyAlignment="1" applyProtection="1">
      <alignment horizontal="center" vertical="center" wrapText="1"/>
      <protection locked="0"/>
    </xf>
    <xf numFmtId="43" fontId="4" fillId="0" borderId="2" xfId="9" applyNumberFormat="1" applyBorder="1" applyAlignment="1" applyProtection="1">
      <alignment horizontal="center" vertical="center" wrapText="1"/>
      <protection locked="0"/>
    </xf>
    <xf numFmtId="15" fontId="4" fillId="8" borderId="2" xfId="9" applyNumberFormat="1" applyFill="1" applyBorder="1" applyAlignment="1" applyProtection="1">
      <alignment horizontal="center" vertical="center"/>
      <protection locked="0"/>
    </xf>
    <xf numFmtId="49" fontId="4" fillId="0" borderId="2" xfId="3" applyNumberFormat="1" applyFont="1" applyFill="1" applyBorder="1" applyAlignment="1" applyProtection="1">
      <alignment horizontal="center" vertical="center" wrapText="1"/>
      <protection locked="0"/>
    </xf>
    <xf numFmtId="43" fontId="4" fillId="0" borderId="2" xfId="3" applyFont="1" applyFill="1" applyBorder="1" applyAlignment="1" applyProtection="1">
      <alignment horizontal="center" vertical="center" wrapText="1"/>
    </xf>
    <xf numFmtId="43" fontId="4" fillId="8" borderId="2" xfId="3" applyFont="1" applyFill="1" applyBorder="1" applyAlignment="1" applyProtection="1">
      <alignment horizontal="center" vertical="center" wrapText="1"/>
    </xf>
    <xf numFmtId="43" fontId="4" fillId="8" borderId="2" xfId="9" applyNumberFormat="1" applyFill="1" applyBorder="1" applyAlignment="1" applyProtection="1">
      <alignment horizontal="center" vertical="center" wrapText="1"/>
      <protection locked="0"/>
    </xf>
    <xf numFmtId="43" fontId="16" fillId="0" borderId="2" xfId="3" applyFont="1" applyFill="1" applyBorder="1" applyAlignment="1" applyProtection="1">
      <alignment horizontal="center" vertical="center" wrapText="1"/>
      <protection locked="0"/>
    </xf>
    <xf numFmtId="0" fontId="4" fillId="0" borderId="0" xfId="9" applyAlignment="1" applyProtection="1">
      <alignment horizontal="center" vertical="center" wrapText="1"/>
      <protection locked="0"/>
    </xf>
    <xf numFmtId="15" fontId="1" fillId="0" borderId="6" xfId="9" applyNumberFormat="1" applyFont="1" applyBorder="1" applyProtection="1">
      <protection locked="0"/>
    </xf>
    <xf numFmtId="0" fontId="1" fillId="0" borderId="0" xfId="9" applyFont="1" applyAlignment="1" applyProtection="1">
      <alignment wrapText="1"/>
      <protection locked="0"/>
    </xf>
    <xf numFmtId="15" fontId="1" fillId="0" borderId="6" xfId="9" applyNumberFormat="1" applyFont="1" applyBorder="1" applyAlignment="1" applyProtection="1">
      <alignment vertical="top"/>
      <protection locked="0"/>
    </xf>
    <xf numFmtId="0" fontId="1" fillId="0" borderId="0" xfId="9" applyFont="1" applyAlignment="1" applyProtection="1">
      <alignment horizontal="center" vertical="top" wrapText="1"/>
      <protection locked="0"/>
    </xf>
    <xf numFmtId="0" fontId="1" fillId="0" borderId="0" xfId="9" applyFont="1" applyAlignment="1" applyProtection="1">
      <alignment vertical="top" wrapText="1"/>
      <protection locked="0"/>
    </xf>
    <xf numFmtId="0" fontId="1" fillId="0" borderId="0" xfId="9" applyFont="1" applyAlignment="1" applyProtection="1">
      <alignment horizontal="center" vertical="top"/>
      <protection locked="0"/>
    </xf>
    <xf numFmtId="0" fontId="1" fillId="0" borderId="0" xfId="9" applyFont="1" applyAlignment="1" applyProtection="1">
      <alignment vertical="top"/>
      <protection locked="0"/>
    </xf>
    <xf numFmtId="0" fontId="17" fillId="3" borderId="7" xfId="9" applyFont="1" applyFill="1" applyBorder="1" applyAlignment="1" applyProtection="1">
      <alignment horizontal="center" vertical="top"/>
      <protection locked="0"/>
    </xf>
    <xf numFmtId="0" fontId="18" fillId="3" borderId="8" xfId="9" applyFont="1" applyFill="1" applyBorder="1" applyAlignment="1" applyProtection="1">
      <alignment horizontal="center" vertical="top" wrapText="1"/>
      <protection locked="0"/>
    </xf>
    <xf numFmtId="0" fontId="18" fillId="3" borderId="7" xfId="9" applyFont="1" applyFill="1" applyBorder="1" applyAlignment="1" applyProtection="1">
      <alignment horizontal="center" vertical="top" wrapText="1"/>
      <protection locked="0"/>
    </xf>
    <xf numFmtId="43" fontId="1" fillId="0" borderId="0" xfId="3" applyFont="1" applyFill="1" applyBorder="1" applyAlignment="1" applyProtection="1">
      <alignment vertical="top"/>
      <protection locked="0"/>
    </xf>
    <xf numFmtId="43" fontId="1" fillId="0" borderId="9" xfId="3" applyFont="1" applyFill="1" applyBorder="1" applyAlignment="1" applyProtection="1">
      <alignment vertical="top" wrapText="1"/>
      <protection locked="0"/>
    </xf>
    <xf numFmtId="0" fontId="18" fillId="6" borderId="10" xfId="0" applyFont="1" applyFill="1" applyBorder="1" applyAlignment="1" applyProtection="1">
      <alignment horizontal="center" vertical="top"/>
      <protection locked="0"/>
    </xf>
    <xf numFmtId="43" fontId="18" fillId="6" borderId="11" xfId="3" applyFont="1" applyFill="1" applyBorder="1" applyAlignment="1" applyProtection="1">
      <alignment horizontal="center" vertical="top"/>
    </xf>
    <xf numFmtId="43" fontId="18" fillId="6" borderId="12" xfId="3" applyFont="1" applyFill="1" applyBorder="1" applyAlignment="1" applyProtection="1">
      <alignment horizontal="center" vertical="top"/>
    </xf>
    <xf numFmtId="43" fontId="1" fillId="0" borderId="0" xfId="3" applyFont="1" applyFill="1" applyBorder="1" applyAlignment="1" applyProtection="1">
      <alignment vertical="top" wrapText="1"/>
      <protection locked="0"/>
    </xf>
    <xf numFmtId="0" fontId="18" fillId="6" borderId="11" xfId="0" applyFont="1" applyFill="1" applyBorder="1" applyAlignment="1" applyProtection="1">
      <alignment horizontal="center" vertical="top"/>
      <protection locked="0"/>
    </xf>
    <xf numFmtId="43" fontId="18" fillId="6" borderId="13" xfId="3" applyFont="1" applyFill="1" applyBorder="1" applyAlignment="1" applyProtection="1">
      <alignment horizontal="left" vertical="top" indent="3"/>
    </xf>
    <xf numFmtId="43" fontId="18" fillId="6" borderId="13" xfId="3" applyFont="1" applyFill="1" applyBorder="1" applyAlignment="1" applyProtection="1">
      <alignment horizontal="center" vertical="top"/>
    </xf>
    <xf numFmtId="0" fontId="18" fillId="6" borderId="14" xfId="0" applyFont="1" applyFill="1" applyBorder="1" applyAlignment="1" applyProtection="1">
      <alignment horizontal="center" vertical="top"/>
      <protection locked="0"/>
    </xf>
    <xf numFmtId="0" fontId="18" fillId="6" borderId="15" xfId="0" applyFont="1" applyFill="1" applyBorder="1" applyAlignment="1" applyProtection="1">
      <alignment horizontal="center" vertical="top"/>
      <protection locked="0"/>
    </xf>
    <xf numFmtId="43" fontId="18" fillId="6" borderId="16" xfId="3" applyFont="1" applyFill="1" applyBorder="1" applyAlignment="1" applyProtection="1">
      <alignment horizontal="center" vertical="top"/>
    </xf>
    <xf numFmtId="43" fontId="18" fillId="6" borderId="17" xfId="3" applyFont="1" applyFill="1" applyBorder="1" applyAlignment="1" applyProtection="1">
      <alignment horizontal="center" vertical="top"/>
    </xf>
    <xf numFmtId="0" fontId="20" fillId="0" borderId="0" xfId="9" applyFont="1" applyAlignment="1" applyProtection="1">
      <alignment horizontal="center"/>
      <protection locked="0"/>
    </xf>
    <xf numFmtId="43" fontId="21" fillId="0" borderId="0" xfId="3" applyFont="1" applyFill="1" applyBorder="1" applyAlignment="1" applyProtection="1">
      <alignment horizontal="center"/>
      <protection locked="0"/>
    </xf>
    <xf numFmtId="15" fontId="1" fillId="0" borderId="18" xfId="9" applyNumberFormat="1" applyFont="1" applyBorder="1" applyAlignment="1" applyProtection="1">
      <alignment vertical="top"/>
      <protection locked="0"/>
    </xf>
    <xf numFmtId="0" fontId="1" fillId="0" borderId="1" xfId="9" applyFont="1" applyBorder="1" applyAlignment="1" applyProtection="1">
      <alignment vertical="top"/>
      <protection locked="0"/>
    </xf>
    <xf numFmtId="0" fontId="20" fillId="0" borderId="1" xfId="9" applyFont="1" applyBorder="1" applyAlignment="1" applyProtection="1">
      <alignment horizontal="center"/>
      <protection locked="0"/>
    </xf>
    <xf numFmtId="43" fontId="21" fillId="0" borderId="1" xfId="3" applyFont="1" applyFill="1" applyBorder="1" applyAlignment="1" applyProtection="1">
      <alignment horizontal="center"/>
      <protection locked="0"/>
    </xf>
    <xf numFmtId="15" fontId="1" fillId="0" borderId="19" xfId="9" applyNumberFormat="1" applyFont="1" applyBorder="1" applyAlignment="1" applyProtection="1">
      <alignment vertical="top"/>
      <protection locked="0"/>
    </xf>
    <xf numFmtId="0" fontId="1" fillId="0" borderId="5" xfId="9" applyFont="1" applyBorder="1" applyAlignment="1" applyProtection="1">
      <alignment vertical="top"/>
      <protection locked="0"/>
    </xf>
    <xf numFmtId="0" fontId="1" fillId="0" borderId="5" xfId="9" applyFont="1" applyBorder="1" applyAlignment="1" applyProtection="1">
      <alignment vertical="top" wrapText="1"/>
      <protection locked="0"/>
    </xf>
    <xf numFmtId="0" fontId="20" fillId="0" borderId="5" xfId="9" applyFont="1" applyBorder="1" applyAlignment="1" applyProtection="1">
      <alignment horizontal="center"/>
      <protection locked="0"/>
    </xf>
    <xf numFmtId="43" fontId="21" fillId="0" borderId="5" xfId="3" applyFont="1" applyFill="1" applyBorder="1" applyAlignment="1" applyProtection="1">
      <alignment horizontal="center"/>
      <protection locked="0"/>
    </xf>
    <xf numFmtId="0" fontId="22" fillId="0" borderId="6" xfId="9" applyFont="1" applyBorder="1" applyAlignment="1" applyProtection="1">
      <alignment horizontal="left" indent="7"/>
      <protection locked="0"/>
    </xf>
    <xf numFmtId="0" fontId="2" fillId="0" borderId="0" xfId="9" applyFont="1" applyAlignment="1" applyProtection="1">
      <alignment vertical="top"/>
      <protection locked="0"/>
    </xf>
    <xf numFmtId="4" fontId="2" fillId="0" borderId="0" xfId="9" applyNumberFormat="1" applyFont="1" applyAlignment="1" applyProtection="1">
      <alignment vertical="top" wrapText="1"/>
      <protection locked="0"/>
    </xf>
    <xf numFmtId="43" fontId="19" fillId="0" borderId="0" xfId="9" applyNumberFormat="1" applyFont="1" applyAlignment="1" applyProtection="1">
      <alignment horizontal="center"/>
      <protection locked="0"/>
    </xf>
    <xf numFmtId="0" fontId="22" fillId="0" borderId="0" xfId="9" applyFont="1" applyAlignment="1" applyProtection="1">
      <alignment horizontal="center"/>
      <protection locked="0"/>
    </xf>
    <xf numFmtId="4" fontId="20" fillId="0" borderId="0" xfId="9" applyNumberFormat="1" applyFont="1" applyAlignment="1" applyProtection="1">
      <alignment horizontal="center"/>
      <protection locked="0"/>
    </xf>
    <xf numFmtId="4" fontId="1" fillId="0" borderId="0" xfId="9" applyNumberFormat="1" applyFont="1" applyAlignment="1" applyProtection="1">
      <alignment vertical="top" wrapText="1"/>
      <protection locked="0"/>
    </xf>
    <xf numFmtId="43" fontId="53" fillId="0" borderId="0" xfId="9" applyNumberFormat="1" applyFont="1"/>
    <xf numFmtId="0" fontId="1" fillId="0" borderId="20" xfId="9" applyFont="1" applyBorder="1" applyProtection="1">
      <protection locked="0"/>
    </xf>
    <xf numFmtId="15" fontId="1" fillId="0" borderId="0" xfId="9" applyNumberFormat="1" applyFont="1" applyAlignment="1" applyProtection="1">
      <alignment horizontal="left" vertical="top" indent="6"/>
      <protection locked="0"/>
    </xf>
    <xf numFmtId="43" fontId="20" fillId="0" borderId="0" xfId="9" applyNumberFormat="1" applyFont="1" applyAlignment="1" applyProtection="1">
      <alignment horizontal="center"/>
      <protection locked="0"/>
    </xf>
    <xf numFmtId="0" fontId="23" fillId="0" borderId="6" xfId="9" applyFont="1" applyBorder="1" applyAlignment="1">
      <alignment horizontal="left" indent="7"/>
    </xf>
    <xf numFmtId="0" fontId="23" fillId="0" borderId="0" xfId="9" applyFont="1" applyAlignment="1">
      <alignment horizontal="left"/>
    </xf>
    <xf numFmtId="0" fontId="24" fillId="0" borderId="6" xfId="0" applyFont="1" applyBorder="1" applyAlignment="1">
      <alignment horizontal="left" indent="6"/>
    </xf>
    <xf numFmtId="0" fontId="1" fillId="0" borderId="0" xfId="9" applyFont="1" applyAlignment="1">
      <alignment horizontal="left"/>
    </xf>
    <xf numFmtId="0" fontId="2" fillId="0" borderId="0" xfId="9" applyFont="1" applyAlignment="1">
      <alignment horizontal="left"/>
    </xf>
    <xf numFmtId="0" fontId="17" fillId="0" borderId="18" xfId="0" applyFont="1" applyBorder="1" applyAlignment="1">
      <alignment horizontal="left" indent="7"/>
    </xf>
    <xf numFmtId="0" fontId="1" fillId="0" borderId="1" xfId="9" applyFont="1" applyBorder="1" applyAlignment="1" applyProtection="1">
      <alignment vertical="top" wrapText="1"/>
      <protection locked="0"/>
    </xf>
    <xf numFmtId="43" fontId="16" fillId="0" borderId="0" xfId="3" applyFont="1" applyFill="1" applyAlignment="1">
      <alignment horizontal="center"/>
    </xf>
    <xf numFmtId="165" fontId="25" fillId="0" borderId="0" xfId="9" applyNumberFormat="1" applyFont="1" applyAlignment="1">
      <alignment horizontal="center"/>
    </xf>
    <xf numFmtId="43" fontId="0" fillId="0" borderId="0" xfId="3" applyFont="1" applyFill="1" applyAlignment="1">
      <alignment horizontal="center"/>
    </xf>
    <xf numFmtId="0" fontId="17" fillId="0" borderId="0" xfId="9" applyFont="1" applyAlignment="1" applyProtection="1">
      <alignment vertical="top" wrapText="1"/>
      <protection locked="0"/>
    </xf>
    <xf numFmtId="43" fontId="54" fillId="0" borderId="21" xfId="3" applyFont="1" applyFill="1" applyBorder="1" applyAlignment="1" applyProtection="1"/>
    <xf numFmtId="43" fontId="54" fillId="0" borderId="21" xfId="3" applyFont="1" applyFill="1" applyBorder="1" applyAlignment="1" applyProtection="1">
      <protection locked="0"/>
    </xf>
    <xf numFmtId="43" fontId="54" fillId="0" borderId="5" xfId="3" applyFont="1" applyFill="1" applyBorder="1" applyAlignment="1" applyProtection="1">
      <protection locked="0"/>
    </xf>
    <xf numFmtId="43" fontId="26" fillId="0" borderId="0" xfId="3" applyFont="1" applyFill="1" applyBorder="1" applyAlignment="1" applyProtection="1">
      <alignment vertical="top"/>
    </xf>
    <xf numFmtId="0" fontId="26" fillId="0" borderId="0" xfId="9" applyFont="1" applyAlignment="1" applyProtection="1">
      <alignment vertical="top"/>
      <protection locked="0"/>
    </xf>
    <xf numFmtId="43" fontId="26" fillId="0" borderId="0" xfId="9" applyNumberFormat="1" applyFont="1" applyAlignment="1">
      <alignment vertical="top"/>
    </xf>
    <xf numFmtId="164" fontId="26" fillId="0" borderId="0" xfId="9" applyNumberFormat="1" applyFont="1" applyAlignment="1">
      <alignment vertical="top"/>
    </xf>
    <xf numFmtId="0" fontId="22" fillId="0" borderId="0" xfId="9" applyFont="1" applyAlignment="1">
      <alignment vertical="top"/>
    </xf>
    <xf numFmtId="165" fontId="18" fillId="0" borderId="0" xfId="9" applyNumberFormat="1" applyFont="1" applyAlignment="1" applyProtection="1">
      <alignment horizontal="center" vertical="top"/>
      <protection locked="0"/>
    </xf>
    <xf numFmtId="0" fontId="27" fillId="0" borderId="0" xfId="9" applyFont="1" applyAlignment="1">
      <alignment horizontal="right"/>
    </xf>
    <xf numFmtId="0" fontId="22" fillId="0" borderId="0" xfId="0" applyFont="1"/>
    <xf numFmtId="0" fontId="22" fillId="0" borderId="0" xfId="9" applyFont="1"/>
    <xf numFmtId="43" fontId="28" fillId="0" borderId="0" xfId="3" applyFont="1" applyFill="1" applyBorder="1" applyAlignment="1" applyProtection="1">
      <alignment vertical="top"/>
      <protection locked="0"/>
    </xf>
    <xf numFmtId="43" fontId="28" fillId="0" borderId="0" xfId="3" applyFont="1" applyFill="1" applyBorder="1" applyAlignment="1" applyProtection="1">
      <alignment vertical="top" wrapText="1"/>
      <protection locked="0"/>
    </xf>
    <xf numFmtId="0" fontId="27" fillId="0" borderId="0" xfId="0" applyFont="1" applyAlignment="1">
      <alignment horizontal="right"/>
    </xf>
    <xf numFmtId="0" fontId="23" fillId="0" borderId="0" xfId="0" applyFont="1"/>
    <xf numFmtId="0" fontId="23" fillId="0" borderId="22" xfId="0" applyFont="1" applyBorder="1"/>
    <xf numFmtId="43" fontId="29" fillId="0" borderId="0" xfId="3" applyFont="1" applyFill="1" applyBorder="1" applyAlignment="1" applyProtection="1">
      <alignment vertical="top"/>
      <protection locked="0"/>
    </xf>
    <xf numFmtId="43" fontId="1" fillId="0" borderId="0" xfId="9" applyNumberFormat="1" applyFont="1" applyProtection="1">
      <protection locked="0"/>
    </xf>
    <xf numFmtId="43" fontId="29" fillId="0" borderId="1" xfId="3" applyFont="1" applyFill="1" applyBorder="1" applyAlignment="1" applyProtection="1">
      <alignment vertical="top"/>
      <protection locked="0"/>
    </xf>
    <xf numFmtId="0" fontId="1" fillId="0" borderId="1" xfId="9" applyFont="1" applyBorder="1" applyProtection="1">
      <protection locked="0"/>
    </xf>
    <xf numFmtId="43" fontId="29" fillId="0" borderId="5" xfId="3" applyFont="1" applyFill="1" applyBorder="1" applyAlignment="1" applyProtection="1">
      <alignment vertical="top"/>
      <protection locked="0"/>
    </xf>
    <xf numFmtId="0" fontId="1" fillId="0" borderId="5" xfId="9" applyFont="1" applyBorder="1" applyProtection="1">
      <protection locked="0"/>
    </xf>
    <xf numFmtId="0" fontId="22" fillId="0" borderId="0" xfId="9" applyFont="1" applyAlignment="1" applyProtection="1">
      <alignment horizontal="left"/>
      <protection locked="0"/>
    </xf>
    <xf numFmtId="0" fontId="17" fillId="0" borderId="0" xfId="9" applyFont="1" applyAlignment="1">
      <alignment horizontal="left"/>
    </xf>
    <xf numFmtId="0" fontId="17" fillId="0" borderId="1" xfId="9" applyFont="1" applyBorder="1" applyProtection="1">
      <protection locked="0"/>
    </xf>
    <xf numFmtId="0" fontId="1" fillId="0" borderId="0" xfId="0" applyFont="1" applyProtection="1">
      <protection locked="0"/>
    </xf>
    <xf numFmtId="43" fontId="4" fillId="0" borderId="0" xfId="9" applyNumberFormat="1"/>
    <xf numFmtId="0" fontId="1" fillId="0" borderId="20" xfId="9" applyFont="1" applyBorder="1" applyAlignment="1" applyProtection="1">
      <alignment vertical="top" wrapText="1"/>
      <protection locked="0"/>
    </xf>
    <xf numFmtId="0" fontId="1" fillId="0" borderId="24" xfId="9" applyFont="1" applyBorder="1" applyAlignment="1" applyProtection="1">
      <alignment vertical="top" wrapText="1"/>
      <protection locked="0"/>
    </xf>
    <xf numFmtId="0" fontId="1" fillId="0" borderId="23" xfId="9" applyFont="1" applyBorder="1" applyAlignment="1" applyProtection="1">
      <alignment vertical="top" wrapText="1"/>
      <protection locked="0"/>
    </xf>
    <xf numFmtId="0" fontId="17" fillId="0" borderId="24" xfId="9" applyFont="1" applyBorder="1" applyAlignment="1" applyProtection="1">
      <alignment vertical="top" wrapText="1"/>
      <protection locked="0"/>
    </xf>
    <xf numFmtId="0" fontId="1" fillId="0" borderId="0" xfId="0" applyFont="1" applyAlignment="1">
      <alignment horizontal="center"/>
    </xf>
    <xf numFmtId="0" fontId="1" fillId="8" borderId="0" xfId="0" applyFont="1" applyFill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0" fillId="0" borderId="0" xfId="0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8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30" fillId="10" borderId="2" xfId="0" applyFont="1" applyFill="1" applyBorder="1" applyAlignment="1">
      <alignment horizontal="center" vertical="center" wrapText="1"/>
    </xf>
    <xf numFmtId="15" fontId="1" fillId="0" borderId="2" xfId="0" applyNumberFormat="1" applyFont="1" applyBorder="1" applyAlignment="1" applyProtection="1">
      <alignment horizontal="center" vertical="top"/>
      <protection locked="0"/>
    </xf>
    <xf numFmtId="0" fontId="1" fillId="0" borderId="2" xfId="0" applyFont="1" applyBorder="1" applyAlignment="1" applyProtection="1">
      <alignment horizontal="center" vertical="top" wrapText="1"/>
      <protection locked="0"/>
    </xf>
    <xf numFmtId="0" fontId="1" fillId="0" borderId="2" xfId="9" applyFont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 applyProtection="1">
      <alignment horizontal="left" vertical="top" wrapText="1"/>
      <protection locked="0"/>
    </xf>
    <xf numFmtId="15" fontId="1" fillId="8" borderId="2" xfId="0" applyNumberFormat="1" applyFont="1" applyFill="1" applyBorder="1" applyAlignment="1" applyProtection="1">
      <alignment horizontal="center" vertical="top"/>
      <protection locked="0"/>
    </xf>
    <xf numFmtId="0" fontId="1" fillId="8" borderId="2" xfId="0" applyFont="1" applyFill="1" applyBorder="1" applyAlignment="1" applyProtection="1">
      <alignment horizontal="center" vertical="top" wrapText="1"/>
      <protection locked="0"/>
    </xf>
    <xf numFmtId="0" fontId="1" fillId="8" borderId="2" xfId="9" applyFont="1" applyFill="1" applyBorder="1" applyAlignment="1" applyProtection="1">
      <alignment horizontal="center" vertical="top" wrapText="1"/>
      <protection locked="0"/>
    </xf>
    <xf numFmtId="0" fontId="1" fillId="8" borderId="2" xfId="0" applyFont="1" applyFill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 applyProtection="1">
      <alignment vertical="top" wrapText="1"/>
      <protection locked="0"/>
    </xf>
    <xf numFmtId="0" fontId="1" fillId="8" borderId="2" xfId="0" applyFont="1" applyFill="1" applyBorder="1" applyAlignment="1" applyProtection="1">
      <alignment vertical="top" wrapText="1"/>
      <protection locked="0"/>
    </xf>
    <xf numFmtId="43" fontId="1" fillId="0" borderId="2" xfId="7" applyFont="1" applyFill="1" applyBorder="1" applyAlignment="1" applyProtection="1">
      <alignment horizontal="center" wrapText="1"/>
      <protection locked="0"/>
    </xf>
    <xf numFmtId="43" fontId="1" fillId="0" borderId="2" xfId="7" applyFont="1" applyFill="1" applyBorder="1" applyAlignment="1" applyProtection="1">
      <alignment wrapText="1"/>
      <protection locked="0"/>
    </xf>
    <xf numFmtId="15" fontId="1" fillId="0" borderId="19" xfId="0" applyNumberFormat="1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left" wrapText="1" indent="2"/>
      <protection locked="0"/>
    </xf>
    <xf numFmtId="0" fontId="54" fillId="0" borderId="0" xfId="0" applyFont="1" applyAlignment="1" applyProtection="1">
      <alignment horizontal="left" indent="15"/>
      <protection locked="0"/>
    </xf>
    <xf numFmtId="0" fontId="52" fillId="0" borderId="5" xfId="0" applyFont="1" applyBorder="1" applyAlignment="1" applyProtection="1">
      <alignment horizontal="left" indent="15"/>
      <protection locked="0"/>
    </xf>
    <xf numFmtId="15" fontId="1" fillId="0" borderId="6" xfId="0" applyNumberFormat="1" applyFont="1" applyBorder="1" applyAlignment="1" applyProtection="1">
      <alignment horizontal="center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15" fontId="1" fillId="0" borderId="6" xfId="0" applyNumberFormat="1" applyFont="1" applyBorder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6" fillId="7" borderId="25" xfId="0" applyFont="1" applyFill="1" applyBorder="1" applyAlignment="1" applyProtection="1">
      <alignment horizontal="center" vertical="top"/>
      <protection locked="0"/>
    </xf>
    <xf numFmtId="0" fontId="18" fillId="7" borderId="26" xfId="0" applyFont="1" applyFill="1" applyBorder="1" applyAlignment="1" applyProtection="1">
      <alignment horizontal="center" vertical="top" wrapText="1"/>
      <protection locked="0"/>
    </xf>
    <xf numFmtId="0" fontId="18" fillId="7" borderId="27" xfId="0" applyFont="1" applyFill="1" applyBorder="1" applyAlignment="1" applyProtection="1">
      <alignment horizontal="center" vertical="top" wrapText="1"/>
      <protection locked="0"/>
    </xf>
    <xf numFmtId="43" fontId="1" fillId="0" borderId="0" xfId="7" applyFont="1" applyFill="1" applyBorder="1" applyAlignment="1" applyProtection="1">
      <alignment horizontal="center" vertical="top"/>
      <protection locked="0"/>
    </xf>
    <xf numFmtId="43" fontId="1" fillId="0" borderId="0" xfId="7" applyFont="1" applyFill="1" applyBorder="1" applyAlignment="1" applyProtection="1">
      <alignment vertical="top" wrapText="1"/>
      <protection locked="0"/>
    </xf>
    <xf numFmtId="43" fontId="18" fillId="6" borderId="28" xfId="8" applyFont="1" applyFill="1" applyBorder="1" applyAlignment="1" applyProtection="1">
      <alignment horizontal="center" vertical="top"/>
    </xf>
    <xf numFmtId="43" fontId="18" fillId="6" borderId="29" xfId="8" applyFont="1" applyFill="1" applyBorder="1" applyAlignment="1" applyProtection="1">
      <alignment horizontal="center" vertical="top"/>
    </xf>
    <xf numFmtId="0" fontId="9" fillId="0" borderId="0" xfId="0" applyFont="1" applyAlignment="1" applyProtection="1">
      <alignment horizontal="left" vertical="center"/>
      <protection locked="0"/>
    </xf>
    <xf numFmtId="43" fontId="1" fillId="0" borderId="2" xfId="7" applyFont="1" applyFill="1" applyBorder="1" applyAlignment="1" applyProtection="1">
      <alignment vertical="top" wrapText="1"/>
      <protection locked="0"/>
    </xf>
    <xf numFmtId="2" fontId="1" fillId="0" borderId="2" xfId="0" applyNumberFormat="1" applyFont="1" applyBorder="1" applyAlignment="1" applyProtection="1">
      <alignment horizontal="center" vertical="top" wrapText="1"/>
      <protection locked="0"/>
    </xf>
    <xf numFmtId="43" fontId="1" fillId="0" borderId="2" xfId="7" applyFont="1" applyFill="1" applyBorder="1" applyAlignment="1" applyProtection="1">
      <alignment vertical="top"/>
      <protection locked="0"/>
    </xf>
    <xf numFmtId="43" fontId="26" fillId="0" borderId="2" xfId="0" applyNumberFormat="1" applyFont="1" applyBorder="1" applyAlignment="1">
      <alignment vertical="top"/>
    </xf>
    <xf numFmtId="164" fontId="26" fillId="0" borderId="2" xfId="0" applyNumberFormat="1" applyFont="1" applyBorder="1" applyAlignment="1">
      <alignment horizontal="center" vertical="top"/>
    </xf>
    <xf numFmtId="43" fontId="26" fillId="0" borderId="2" xfId="8" applyFont="1" applyFill="1" applyBorder="1" applyAlignment="1" applyProtection="1">
      <alignment vertical="top"/>
    </xf>
    <xf numFmtId="43" fontId="26" fillId="0" borderId="2" xfId="7" applyFont="1" applyFill="1" applyBorder="1" applyAlignment="1" applyProtection="1">
      <alignment vertical="top"/>
    </xf>
    <xf numFmtId="43" fontId="1" fillId="8" borderId="2" xfId="7" applyFont="1" applyFill="1" applyBorder="1" applyAlignment="1" applyProtection="1">
      <alignment vertical="top" wrapText="1"/>
      <protection locked="0"/>
    </xf>
    <xf numFmtId="2" fontId="1" fillId="8" borderId="2" xfId="0" applyNumberFormat="1" applyFont="1" applyFill="1" applyBorder="1" applyAlignment="1" applyProtection="1">
      <alignment horizontal="center" vertical="top" wrapText="1"/>
      <protection locked="0"/>
    </xf>
    <xf numFmtId="43" fontId="1" fillId="8" borderId="2" xfId="7" applyFont="1" applyFill="1" applyBorder="1" applyAlignment="1" applyProtection="1">
      <alignment vertical="top"/>
      <protection locked="0"/>
    </xf>
    <xf numFmtId="43" fontId="26" fillId="8" borderId="2" xfId="0" applyNumberFormat="1" applyFont="1" applyFill="1" applyBorder="1" applyAlignment="1">
      <alignment vertical="top"/>
    </xf>
    <xf numFmtId="164" fontId="26" fillId="8" borderId="2" xfId="0" applyNumberFormat="1" applyFont="1" applyFill="1" applyBorder="1" applyAlignment="1">
      <alignment horizontal="center" vertical="top"/>
    </xf>
    <xf numFmtId="164" fontId="26" fillId="5" borderId="2" xfId="0" applyNumberFormat="1" applyFont="1" applyFill="1" applyBorder="1" applyAlignment="1">
      <alignment horizontal="center" vertical="top"/>
    </xf>
    <xf numFmtId="43" fontId="26" fillId="0" borderId="2" xfId="8" applyFont="1" applyFill="1" applyBorder="1" applyAlignment="1" applyProtection="1">
      <alignment horizontal="center" vertical="top" wrapText="1"/>
    </xf>
    <xf numFmtId="43" fontId="1" fillId="0" borderId="2" xfId="8" applyFont="1" applyFill="1" applyBorder="1" applyAlignment="1" applyProtection="1">
      <alignment vertical="top"/>
      <protection locked="0"/>
    </xf>
    <xf numFmtId="43" fontId="26" fillId="8" borderId="2" xfId="8" applyFont="1" applyFill="1" applyBorder="1" applyAlignment="1" applyProtection="1">
      <alignment horizontal="center" vertical="top" wrapText="1"/>
    </xf>
    <xf numFmtId="43" fontId="1" fillId="8" borderId="2" xfId="8" applyFont="1" applyFill="1" applyBorder="1" applyAlignment="1" applyProtection="1">
      <alignment vertical="top"/>
      <protection locked="0"/>
    </xf>
    <xf numFmtId="43" fontId="26" fillId="8" borderId="2" xfId="8" applyFont="1" applyFill="1" applyBorder="1" applyAlignment="1" applyProtection="1">
      <alignment vertical="top"/>
    </xf>
    <xf numFmtId="43" fontId="26" fillId="0" borderId="2" xfId="3" applyFont="1" applyFill="1" applyBorder="1" applyAlignment="1" applyProtection="1">
      <alignment horizontal="center" vertical="top" wrapText="1"/>
    </xf>
    <xf numFmtId="43" fontId="1" fillId="8" borderId="2" xfId="8" applyFont="1" applyFill="1" applyBorder="1" applyAlignment="1" applyProtection="1">
      <alignment vertical="top"/>
    </xf>
    <xf numFmtId="43" fontId="26" fillId="0" borderId="2" xfId="3" applyFont="1" applyFill="1" applyBorder="1" applyAlignment="1" applyProtection="1">
      <alignment vertical="top"/>
    </xf>
    <xf numFmtId="43" fontId="15" fillId="0" borderId="2" xfId="7" applyFont="1" applyFill="1" applyBorder="1" applyAlignment="1" applyProtection="1">
      <alignment vertical="top" wrapText="1"/>
      <protection locked="0"/>
    </xf>
    <xf numFmtId="43" fontId="1" fillId="0" borderId="2" xfId="0" applyNumberFormat="1" applyFont="1" applyBorder="1" applyAlignment="1" applyProtection="1">
      <alignment wrapText="1"/>
      <protection locked="0"/>
    </xf>
    <xf numFmtId="43" fontId="54" fillId="0" borderId="21" xfId="7" applyFont="1" applyFill="1" applyBorder="1" applyAlignment="1" applyProtection="1">
      <protection locked="0"/>
    </xf>
    <xf numFmtId="0" fontId="55" fillId="0" borderId="5" xfId="0" applyFont="1" applyBorder="1" applyProtection="1">
      <protection locked="0"/>
    </xf>
    <xf numFmtId="0" fontId="56" fillId="0" borderId="5" xfId="0" applyFont="1" applyBorder="1" applyProtection="1">
      <protection locked="0"/>
    </xf>
    <xf numFmtId="43" fontId="56" fillId="0" borderId="5" xfId="0" applyNumberFormat="1" applyFont="1" applyBorder="1"/>
    <xf numFmtId="164" fontId="56" fillId="0" borderId="5" xfId="0" applyNumberFormat="1" applyFont="1" applyBorder="1"/>
    <xf numFmtId="43" fontId="54" fillId="0" borderId="5" xfId="7" applyFont="1" applyFill="1" applyBorder="1" applyAlignment="1" applyProtection="1">
      <protection locked="0"/>
    </xf>
    <xf numFmtId="43" fontId="16" fillId="0" borderId="0" xfId="7" applyFont="1" applyFill="1" applyBorder="1" applyAlignment="1" applyProtection="1">
      <protection locked="0"/>
    </xf>
    <xf numFmtId="43" fontId="1" fillId="0" borderId="0" xfId="7" applyFont="1" applyFill="1" applyBorder="1" applyAlignment="1" applyProtection="1">
      <protection locked="0"/>
    </xf>
    <xf numFmtId="0" fontId="26" fillId="0" borderId="0" xfId="0" applyFont="1" applyProtection="1">
      <protection locked="0"/>
    </xf>
    <xf numFmtId="43" fontId="26" fillId="0" borderId="0" xfId="7" applyFont="1" applyFill="1" applyBorder="1" applyAlignment="1" applyProtection="1"/>
    <xf numFmtId="43" fontId="1" fillId="0" borderId="0" xfId="7" applyFont="1" applyFill="1" applyBorder="1" applyAlignment="1" applyProtection="1">
      <alignment vertical="top"/>
      <protection locked="0"/>
    </xf>
    <xf numFmtId="0" fontId="26" fillId="0" borderId="0" xfId="0" applyFont="1" applyAlignment="1" applyProtection="1">
      <alignment vertical="top"/>
      <protection locked="0"/>
    </xf>
    <xf numFmtId="43" fontId="26" fillId="0" borderId="0" xfId="0" applyNumberFormat="1" applyFont="1" applyAlignment="1">
      <alignment vertical="top"/>
    </xf>
    <xf numFmtId="164" fontId="26" fillId="0" borderId="0" xfId="0" applyNumberFormat="1" applyFont="1" applyAlignment="1">
      <alignment vertical="top"/>
    </xf>
    <xf numFmtId="43" fontId="26" fillId="0" borderId="0" xfId="7" applyFont="1" applyFill="1" applyBorder="1" applyAlignment="1" applyProtection="1">
      <alignment vertical="top"/>
    </xf>
    <xf numFmtId="0" fontId="32" fillId="0" borderId="0" xfId="0" applyFont="1" applyAlignment="1" applyProtection="1">
      <alignment horizontal="center" vertical="top"/>
      <protection locked="0"/>
    </xf>
    <xf numFmtId="43" fontId="20" fillId="0" borderId="0" xfId="0" applyNumberFormat="1" applyFont="1" applyAlignment="1" applyProtection="1">
      <alignment horizontal="center" vertical="top" wrapText="1"/>
      <protection locked="0"/>
    </xf>
    <xf numFmtId="43" fontId="28" fillId="0" borderId="0" xfId="7" applyFont="1" applyFill="1" applyBorder="1" applyAlignment="1" applyProtection="1">
      <alignment vertical="top"/>
      <protection locked="0"/>
    </xf>
    <xf numFmtId="43" fontId="28" fillId="0" borderId="0" xfId="7" applyFont="1" applyFill="1" applyBorder="1" applyAlignment="1" applyProtection="1">
      <alignment vertical="top" wrapText="1"/>
      <protection locked="0"/>
    </xf>
    <xf numFmtId="0" fontId="16" fillId="0" borderId="0" xfId="0" applyFont="1"/>
    <xf numFmtId="0" fontId="16" fillId="0" borderId="0" xfId="9" applyFont="1"/>
    <xf numFmtId="0" fontId="1" fillId="0" borderId="23" xfId="0" applyFont="1" applyBorder="1" applyAlignment="1" applyProtection="1">
      <alignment wrapText="1"/>
      <protection locked="0"/>
    </xf>
    <xf numFmtId="0" fontId="1" fillId="0" borderId="20" xfId="0" applyFont="1" applyBorder="1" applyAlignment="1" applyProtection="1">
      <alignment wrapText="1"/>
      <protection locked="0"/>
    </xf>
    <xf numFmtId="0" fontId="1" fillId="0" borderId="20" xfId="0" applyFont="1" applyBorder="1" applyAlignment="1" applyProtection="1">
      <alignment vertical="top" wrapText="1"/>
      <protection locked="0"/>
    </xf>
    <xf numFmtId="0" fontId="18" fillId="6" borderId="30" xfId="0" applyFont="1" applyFill="1" applyBorder="1" applyAlignment="1" applyProtection="1">
      <alignment horizontal="center" vertical="top"/>
      <protection locked="0"/>
    </xf>
    <xf numFmtId="43" fontId="18" fillId="6" borderId="31" xfId="8" applyFont="1" applyFill="1" applyBorder="1" applyAlignment="1" applyProtection="1">
      <alignment horizontal="center" vertical="top"/>
    </xf>
    <xf numFmtId="43" fontId="18" fillId="6" borderId="32" xfId="8" applyFont="1" applyFill="1" applyBorder="1" applyAlignment="1" applyProtection="1">
      <alignment horizontal="center" vertical="top"/>
    </xf>
    <xf numFmtId="0" fontId="18" fillId="6" borderId="25" xfId="0" applyFont="1" applyFill="1" applyBorder="1" applyAlignment="1" applyProtection="1">
      <alignment horizontal="center" vertical="top"/>
      <protection locked="0"/>
    </xf>
    <xf numFmtId="43" fontId="18" fillId="6" borderId="26" xfId="8" applyFont="1" applyFill="1" applyBorder="1" applyAlignment="1" applyProtection="1">
      <alignment horizontal="center" vertical="top"/>
    </xf>
    <xf numFmtId="43" fontId="18" fillId="6" borderId="27" xfId="8" applyFont="1" applyFill="1" applyBorder="1" applyAlignment="1" applyProtection="1">
      <alignment horizontal="center" vertical="top"/>
    </xf>
    <xf numFmtId="43" fontId="18" fillId="6" borderId="33" xfId="8" applyFont="1" applyFill="1" applyBorder="1" applyAlignment="1" applyProtection="1">
      <alignment horizontal="center" vertical="top"/>
    </xf>
    <xf numFmtId="0" fontId="18" fillId="6" borderId="34" xfId="0" applyFont="1" applyFill="1" applyBorder="1" applyAlignment="1" applyProtection="1">
      <alignment horizontal="center" vertical="top"/>
      <protection locked="0"/>
    </xf>
    <xf numFmtId="43" fontId="18" fillId="6" borderId="16" xfId="8" applyFont="1" applyFill="1" applyBorder="1" applyAlignment="1" applyProtection="1">
      <alignment horizontal="center" vertical="top"/>
    </xf>
    <xf numFmtId="43" fontId="18" fillId="6" borderId="16" xfId="8" applyFont="1" applyFill="1" applyBorder="1" applyAlignment="1" applyProtection="1">
      <alignment horizontal="left" indent="14"/>
    </xf>
    <xf numFmtId="43" fontId="18" fillId="6" borderId="32" xfId="8" applyFont="1" applyFill="1" applyBorder="1" applyAlignment="1" applyProtection="1">
      <alignment horizontal="left" vertical="top" indent="14"/>
    </xf>
    <xf numFmtId="43" fontId="18" fillId="6" borderId="28" xfId="8" applyFont="1" applyFill="1" applyBorder="1" applyAlignment="1" applyProtection="1">
      <alignment horizontal="left" indent="14"/>
    </xf>
    <xf numFmtId="43" fontId="18" fillId="6" borderId="29" xfId="8" applyFont="1" applyFill="1" applyBorder="1" applyAlignment="1" applyProtection="1">
      <alignment horizontal="left" vertical="top" indent="14"/>
    </xf>
    <xf numFmtId="43" fontId="18" fillId="6" borderId="26" xfId="8" applyFont="1" applyFill="1" applyBorder="1" applyAlignment="1" applyProtection="1">
      <alignment horizontal="left" indent="7"/>
    </xf>
    <xf numFmtId="43" fontId="18" fillId="6" borderId="27" xfId="8" applyFont="1" applyFill="1" applyBorder="1" applyAlignment="1" applyProtection="1">
      <alignment horizontal="left" vertical="top" indent="8"/>
    </xf>
    <xf numFmtId="0" fontId="19" fillId="7" borderId="15" xfId="9" applyFont="1" applyFill="1" applyBorder="1" applyAlignment="1" applyProtection="1">
      <alignment horizontal="center"/>
      <protection locked="0"/>
    </xf>
    <xf numFmtId="43" fontId="19" fillId="7" borderId="28" xfId="3" applyFont="1" applyFill="1" applyBorder="1" applyAlignment="1" applyProtection="1">
      <alignment horizontal="center"/>
    </xf>
    <xf numFmtId="43" fontId="19" fillId="7" borderId="29" xfId="3" applyFont="1" applyFill="1" applyBorder="1" applyAlignment="1" applyProtection="1">
      <alignment horizontal="center"/>
    </xf>
    <xf numFmtId="0" fontId="33" fillId="0" borderId="0" xfId="9" applyFont="1" applyAlignment="1" applyProtection="1">
      <alignment horizontal="center"/>
      <protection locked="0"/>
    </xf>
    <xf numFmtId="43" fontId="33" fillId="0" borderId="0" xfId="3" applyFont="1" applyFill="1" applyBorder="1" applyAlignment="1" applyProtection="1">
      <alignment horizontal="center"/>
      <protection locked="0"/>
    </xf>
    <xf numFmtId="15" fontId="1" fillId="0" borderId="19" xfId="0" applyNumberFormat="1" applyFont="1" applyBorder="1" applyAlignment="1" applyProtection="1">
      <alignment horizontal="center" vertical="top"/>
      <protection locked="0"/>
    </xf>
    <xf numFmtId="0" fontId="1" fillId="0" borderId="5" xfId="0" applyFont="1" applyBorder="1" applyAlignment="1" applyProtection="1">
      <alignment horizontal="center" vertical="top"/>
      <protection locked="0"/>
    </xf>
    <xf numFmtId="0" fontId="1" fillId="0" borderId="5" xfId="0" applyFont="1" applyBorder="1" applyAlignment="1" applyProtection="1">
      <alignment vertical="top" wrapText="1"/>
      <protection locked="0"/>
    </xf>
    <xf numFmtId="0" fontId="22" fillId="0" borderId="6" xfId="0" applyFont="1" applyBorder="1" applyAlignment="1" applyProtection="1">
      <alignment horizontal="left" indent="5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3" fillId="0" borderId="6" xfId="0" applyFont="1" applyBorder="1" applyAlignment="1">
      <alignment horizontal="left" indent="4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0" fontId="17" fillId="0" borderId="6" xfId="0" applyFont="1" applyBorder="1" applyAlignment="1">
      <alignment horizontal="left" indent="4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7" fillId="0" borderId="18" xfId="0" applyFont="1" applyBorder="1" applyAlignment="1">
      <alignment horizontal="left" indent="5"/>
    </xf>
    <xf numFmtId="0" fontId="20" fillId="0" borderId="1" xfId="0" applyFont="1" applyBorder="1" applyAlignment="1" applyProtection="1">
      <alignment horizontal="center"/>
      <protection locked="0"/>
    </xf>
    <xf numFmtId="43" fontId="21" fillId="0" borderId="1" xfId="7" applyFont="1" applyFill="1" applyBorder="1" applyAlignment="1" applyProtection="1">
      <alignment horizontal="center"/>
      <protection locked="0"/>
    </xf>
    <xf numFmtId="43" fontId="16" fillId="0" borderId="0" xfId="7" applyFont="1" applyFill="1" applyAlignment="1">
      <alignment horizontal="center"/>
    </xf>
    <xf numFmtId="165" fontId="25" fillId="0" borderId="0" xfId="0" applyNumberFormat="1" applyFont="1" applyAlignment="1">
      <alignment horizontal="center"/>
    </xf>
    <xf numFmtId="0" fontId="17" fillId="0" borderId="0" xfId="0" applyFont="1" applyAlignment="1" applyProtection="1">
      <alignment vertical="top" wrapText="1"/>
      <protection locked="0"/>
    </xf>
    <xf numFmtId="0" fontId="14" fillId="0" borderId="0" xfId="0" applyFont="1" applyAlignment="1" applyProtection="1">
      <alignment vertical="top"/>
      <protection locked="0"/>
    </xf>
    <xf numFmtId="43" fontId="14" fillId="0" borderId="0" xfId="0" applyNumberFormat="1" applyFont="1" applyAlignment="1">
      <alignment vertical="top"/>
    </xf>
    <xf numFmtId="164" fontId="14" fillId="0" borderId="0" xfId="0" applyNumberFormat="1" applyFont="1" applyAlignment="1">
      <alignment vertical="top"/>
    </xf>
    <xf numFmtId="0" fontId="34" fillId="0" borderId="0" xfId="0" applyFont="1"/>
    <xf numFmtId="0" fontId="4" fillId="0" borderId="0" xfId="0" applyFont="1" applyProtection="1">
      <protection locked="0"/>
    </xf>
    <xf numFmtId="0" fontId="4" fillId="0" borderId="0" xfId="0" applyFont="1" applyAlignment="1" applyProtection="1">
      <alignment vertical="top" wrapText="1"/>
      <protection locked="0"/>
    </xf>
    <xf numFmtId="43" fontId="35" fillId="0" borderId="0" xfId="1" applyFont="1" applyFill="1" applyBorder="1" applyAlignment="1" applyProtection="1">
      <alignment vertical="top"/>
      <protection locked="0"/>
    </xf>
    <xf numFmtId="43" fontId="29" fillId="0" borderId="0" xfId="7" applyFont="1" applyFill="1" applyBorder="1" applyAlignment="1" applyProtection="1">
      <alignment vertical="top"/>
      <protection locked="0"/>
    </xf>
    <xf numFmtId="43" fontId="29" fillId="0" borderId="5" xfId="7" applyFont="1" applyFill="1" applyBorder="1" applyAlignment="1" applyProtection="1">
      <alignment vertical="top"/>
      <protection locked="0"/>
    </xf>
    <xf numFmtId="0" fontId="1" fillId="0" borderId="5" xfId="0" applyFont="1" applyBorder="1" applyProtection="1">
      <protection locked="0"/>
    </xf>
    <xf numFmtId="0" fontId="1" fillId="0" borderId="23" xfId="0" applyFont="1" applyBorder="1" applyAlignment="1" applyProtection="1">
      <alignment vertical="top" wrapText="1"/>
      <protection locked="0"/>
    </xf>
    <xf numFmtId="0" fontId="1" fillId="0" borderId="24" xfId="0" applyFont="1" applyBorder="1" applyAlignment="1" applyProtection="1">
      <alignment vertical="top" wrapText="1"/>
      <protection locked="0"/>
    </xf>
    <xf numFmtId="0" fontId="30" fillId="10" borderId="2" xfId="9" applyFont="1" applyFill="1" applyBorder="1" applyAlignment="1">
      <alignment horizontal="center" vertical="center" wrapText="1"/>
    </xf>
    <xf numFmtId="14" fontId="1" fillId="0" borderId="2" xfId="9" applyNumberFormat="1" applyFont="1" applyBorder="1" applyProtection="1">
      <protection locked="0"/>
    </xf>
    <xf numFmtId="43" fontId="1" fillId="0" borderId="2" xfId="3" applyFont="1" applyFill="1" applyBorder="1" applyAlignment="1" applyProtection="1">
      <alignment wrapText="1"/>
      <protection locked="0"/>
    </xf>
    <xf numFmtId="43" fontId="1" fillId="0" borderId="2" xfId="3" applyFont="1" applyFill="1" applyBorder="1" applyAlignment="1" applyProtection="1">
      <alignment horizontal="center" wrapText="1"/>
      <protection locked="0"/>
    </xf>
    <xf numFmtId="15" fontId="1" fillId="0" borderId="19" xfId="9" applyNumberFormat="1" applyFont="1" applyBorder="1" applyProtection="1">
      <protection locked="0"/>
    </xf>
    <xf numFmtId="0" fontId="17" fillId="7" borderId="15" xfId="9" applyFont="1" applyFill="1" applyBorder="1" applyAlignment="1" applyProtection="1">
      <alignment horizontal="center" vertical="top"/>
      <protection locked="0"/>
    </xf>
    <xf numFmtId="0" fontId="18" fillId="7" borderId="28" xfId="9" applyFont="1" applyFill="1" applyBorder="1" applyAlignment="1" applyProtection="1">
      <alignment horizontal="center" vertical="top" wrapText="1"/>
      <protection locked="0"/>
    </xf>
    <xf numFmtId="0" fontId="18" fillId="7" borderId="29" xfId="9" applyFont="1" applyFill="1" applyBorder="1" applyAlignment="1" applyProtection="1">
      <alignment horizontal="center" vertical="top" wrapText="1"/>
      <protection locked="0"/>
    </xf>
    <xf numFmtId="0" fontId="18" fillId="6" borderId="15" xfId="9" applyFont="1" applyFill="1" applyBorder="1" applyAlignment="1" applyProtection="1">
      <alignment horizontal="center" vertical="top"/>
      <protection locked="0"/>
    </xf>
    <xf numFmtId="43" fontId="18" fillId="6" borderId="28" xfId="3" applyFont="1" applyFill="1" applyBorder="1" applyAlignment="1" applyProtection="1">
      <alignment horizontal="center" vertical="top"/>
    </xf>
    <xf numFmtId="0" fontId="18" fillId="6" borderId="30" xfId="9" applyFont="1" applyFill="1" applyBorder="1" applyAlignment="1" applyProtection="1">
      <alignment horizontal="center" vertical="top"/>
      <protection locked="0"/>
    </xf>
    <xf numFmtId="43" fontId="18" fillId="6" borderId="31" xfId="3" applyFont="1" applyFill="1" applyBorder="1" applyAlignment="1" applyProtection="1">
      <alignment horizontal="left" vertical="center" indent="6"/>
    </xf>
    <xf numFmtId="43" fontId="18" fillId="6" borderId="28" xfId="3" applyFont="1" applyFill="1" applyBorder="1" applyAlignment="1" applyProtection="1">
      <alignment horizontal="center" vertical="center"/>
    </xf>
    <xf numFmtId="43" fontId="18" fillId="6" borderId="29" xfId="3" applyFont="1" applyFill="1" applyBorder="1" applyAlignment="1" applyProtection="1">
      <alignment horizontal="left" vertical="center" indent="6"/>
    </xf>
    <xf numFmtId="0" fontId="18" fillId="6" borderId="35" xfId="9" applyFont="1" applyFill="1" applyBorder="1" applyAlignment="1" applyProtection="1">
      <alignment horizontal="center" vertical="top"/>
      <protection locked="0"/>
    </xf>
    <xf numFmtId="43" fontId="18" fillId="6" borderId="28" xfId="3" applyFont="1" applyFill="1" applyBorder="1" applyAlignment="1" applyProtection="1">
      <alignment horizontal="left" vertical="center" indent="6"/>
    </xf>
    <xf numFmtId="43" fontId="19" fillId="7" borderId="27" xfId="3" applyFont="1" applyFill="1" applyBorder="1" applyAlignment="1" applyProtection="1">
      <alignment horizontal="center"/>
    </xf>
    <xf numFmtId="0" fontId="36" fillId="0" borderId="6" xfId="9" applyFont="1" applyBorder="1"/>
    <xf numFmtId="0" fontId="36" fillId="0" borderId="0" xfId="9" applyFont="1"/>
    <xf numFmtId="0" fontId="37" fillId="0" borderId="0" xfId="9" applyFont="1"/>
    <xf numFmtId="43" fontId="20" fillId="0" borderId="0" xfId="3" applyFont="1" applyFill="1" applyBorder="1" applyAlignment="1" applyProtection="1">
      <alignment horizontal="center"/>
      <protection locked="0"/>
    </xf>
    <xf numFmtId="165" fontId="38" fillId="0" borderId="0" xfId="9" applyNumberFormat="1" applyFont="1" applyProtection="1">
      <protection locked="0"/>
    </xf>
    <xf numFmtId="43" fontId="39" fillId="0" borderId="0" xfId="3" applyFont="1" applyFill="1" applyBorder="1" applyAlignment="1" applyProtection="1">
      <alignment horizontal="left"/>
      <protection locked="0"/>
    </xf>
    <xf numFmtId="4" fontId="1" fillId="0" borderId="1" xfId="9" applyNumberFormat="1" applyFont="1" applyBorder="1" applyAlignment="1" applyProtection="1">
      <alignment vertical="top" wrapText="1"/>
      <protection locked="0"/>
    </xf>
    <xf numFmtId="0" fontId="22" fillId="0" borderId="6" xfId="9" applyFont="1" applyBorder="1" applyAlignment="1" applyProtection="1">
      <alignment horizontal="left" indent="10"/>
      <protection locked="0"/>
    </xf>
    <xf numFmtId="43" fontId="17" fillId="0" borderId="2" xfId="3" applyFont="1" applyFill="1" applyBorder="1" applyAlignment="1" applyProtection="1">
      <alignment wrapText="1"/>
      <protection locked="0"/>
    </xf>
    <xf numFmtId="43" fontId="1" fillId="0" borderId="2" xfId="9" applyNumberFormat="1" applyFont="1" applyBorder="1" applyAlignment="1" applyProtection="1">
      <alignment wrapText="1"/>
      <protection locked="0"/>
    </xf>
    <xf numFmtId="43" fontId="21" fillId="0" borderId="0" xfId="3" applyFont="1" applyFill="1" applyBorder="1" applyAlignment="1" applyProtection="1">
      <alignment vertical="top"/>
      <protection locked="0"/>
    </xf>
    <xf numFmtId="43" fontId="21" fillId="0" borderId="0" xfId="3" applyFont="1" applyFill="1" applyBorder="1" applyAlignment="1" applyProtection="1">
      <alignment vertical="top" wrapText="1"/>
      <protection locked="0"/>
    </xf>
    <xf numFmtId="43" fontId="14" fillId="0" borderId="0" xfId="3" applyFont="1" applyFill="1" applyBorder="1" applyAlignment="1" applyProtection="1">
      <alignment vertical="top"/>
    </xf>
    <xf numFmtId="0" fontId="4" fillId="0" borderId="0" xfId="9" applyAlignment="1" applyProtection="1">
      <alignment vertical="top" wrapText="1"/>
      <protection locked="0"/>
    </xf>
    <xf numFmtId="43" fontId="4" fillId="0" borderId="0" xfId="9" applyNumberFormat="1" applyProtection="1">
      <protection locked="0"/>
    </xf>
    <xf numFmtId="0" fontId="4" fillId="0" borderId="0" xfId="9" applyProtection="1">
      <protection locked="0"/>
    </xf>
    <xf numFmtId="165" fontId="1" fillId="0" borderId="0" xfId="9" applyNumberFormat="1" applyFont="1" applyProtection="1">
      <protection locked="0"/>
    </xf>
    <xf numFmtId="0" fontId="1" fillId="0" borderId="23" xfId="9" applyFont="1" applyBorder="1" applyAlignment="1" applyProtection="1">
      <alignment wrapText="1"/>
      <protection locked="0"/>
    </xf>
    <xf numFmtId="0" fontId="4" fillId="0" borderId="20" xfId="9" applyBorder="1" applyProtection="1">
      <protection locked="0"/>
    </xf>
    <xf numFmtId="0" fontId="1" fillId="0" borderId="24" xfId="9" applyFont="1" applyBorder="1" applyProtection="1">
      <protection locked="0"/>
    </xf>
    <xf numFmtId="15" fontId="1" fillId="0" borderId="0" xfId="9" applyNumberFormat="1" applyFont="1" applyAlignment="1" applyProtection="1">
      <alignment horizontal="left" vertical="top" indent="4"/>
      <protection locked="0"/>
    </xf>
    <xf numFmtId="0" fontId="23" fillId="0" borderId="6" xfId="9" applyFont="1" applyBorder="1" applyAlignment="1">
      <alignment horizontal="left" indent="9"/>
    </xf>
    <xf numFmtId="0" fontId="17" fillId="0" borderId="6" xfId="0" applyFont="1" applyBorder="1" applyAlignment="1">
      <alignment horizontal="left" indent="8"/>
    </xf>
    <xf numFmtId="0" fontId="4" fillId="0" borderId="0" xfId="9" applyAlignment="1">
      <alignment horizontal="left"/>
    </xf>
    <xf numFmtId="0" fontId="17" fillId="0" borderId="18" xfId="0" applyFont="1" applyBorder="1" applyAlignment="1">
      <alignment horizontal="left" indent="9"/>
    </xf>
    <xf numFmtId="0" fontId="1" fillId="8" borderId="0" xfId="9" applyFont="1" applyFill="1" applyProtection="1">
      <protection locked="0"/>
    </xf>
    <xf numFmtId="0" fontId="1" fillId="2" borderId="0" xfId="9" applyFont="1" applyFill="1" applyProtection="1">
      <protection locked="0"/>
    </xf>
    <xf numFmtId="0" fontId="5" fillId="0" borderId="0" xfId="9" applyFont="1" applyAlignment="1" applyProtection="1">
      <alignment horizontal="center"/>
      <protection locked="0"/>
    </xf>
    <xf numFmtId="0" fontId="40" fillId="0" borderId="0" xfId="9" applyFont="1" applyAlignment="1" applyProtection="1">
      <alignment horizontal="left"/>
      <protection locked="0"/>
    </xf>
    <xf numFmtId="0" fontId="9" fillId="0" borderId="0" xfId="9" applyFont="1" applyAlignment="1" applyProtection="1">
      <alignment horizontal="center" vertical="center"/>
      <protection locked="0"/>
    </xf>
    <xf numFmtId="0" fontId="9" fillId="0" borderId="1" xfId="9" applyFont="1" applyBorder="1" applyAlignment="1" applyProtection="1">
      <alignment horizontal="center" vertical="center"/>
      <protection locked="0"/>
    </xf>
    <xf numFmtId="0" fontId="1" fillId="0" borderId="5" xfId="9" applyFont="1" applyBorder="1" applyAlignment="1" applyProtection="1">
      <alignment horizontal="center" wrapText="1"/>
      <protection locked="0"/>
    </xf>
    <xf numFmtId="0" fontId="57" fillId="0" borderId="5" xfId="9" applyFont="1" applyBorder="1" applyAlignment="1" applyProtection="1">
      <alignment horizontal="center"/>
      <protection locked="0"/>
    </xf>
    <xf numFmtId="0" fontId="31" fillId="0" borderId="0" xfId="9" applyFont="1" applyAlignment="1" applyProtection="1">
      <alignment horizontal="right" vertical="center" wrapText="1"/>
      <protection locked="0"/>
    </xf>
    <xf numFmtId="0" fontId="17" fillId="0" borderId="0" xfId="9" applyFont="1" applyAlignment="1" applyProtection="1">
      <alignment vertical="center" wrapText="1"/>
      <protection locked="0"/>
    </xf>
    <xf numFmtId="0" fontId="16" fillId="0" borderId="0" xfId="9" applyFont="1" applyAlignment="1">
      <alignment vertical="center"/>
    </xf>
    <xf numFmtId="0" fontId="4" fillId="0" borderId="0" xfId="9" applyAlignment="1">
      <alignment vertical="center"/>
    </xf>
    <xf numFmtId="0" fontId="1" fillId="0" borderId="0" xfId="9" applyFont="1" applyAlignment="1" applyProtection="1">
      <alignment horizontal="center"/>
      <protection locked="0"/>
    </xf>
    <xf numFmtId="0" fontId="17" fillId="9" borderId="25" xfId="9" applyFont="1" applyFill="1" applyBorder="1" applyAlignment="1" applyProtection="1">
      <alignment horizontal="center" vertical="top"/>
      <protection locked="0"/>
    </xf>
    <xf numFmtId="0" fontId="18" fillId="9" borderId="26" xfId="9" applyFont="1" applyFill="1" applyBorder="1" applyAlignment="1" applyProtection="1">
      <alignment horizontal="center" vertical="top" wrapText="1"/>
      <protection locked="0"/>
    </xf>
    <xf numFmtId="0" fontId="18" fillId="9" borderId="29" xfId="9" applyFont="1" applyFill="1" applyBorder="1" applyAlignment="1" applyProtection="1">
      <alignment horizontal="center" vertical="top" wrapText="1"/>
      <protection locked="0"/>
    </xf>
    <xf numFmtId="43" fontId="1" fillId="0" borderId="0" xfId="3" applyFont="1" applyFill="1" applyBorder="1" applyAlignment="1" applyProtection="1">
      <alignment horizontal="center" vertical="top"/>
      <protection locked="0"/>
    </xf>
    <xf numFmtId="0" fontId="18" fillId="6" borderId="22" xfId="9" applyFont="1" applyFill="1" applyBorder="1" applyAlignment="1" applyProtection="1">
      <alignment horizontal="center" vertical="top"/>
      <protection locked="0"/>
    </xf>
    <xf numFmtId="43" fontId="41" fillId="6" borderId="31" xfId="4" applyFont="1" applyFill="1" applyBorder="1" applyAlignment="1" applyProtection="1">
      <alignment horizontal="center" vertical="top"/>
    </xf>
    <xf numFmtId="43" fontId="41" fillId="6" borderId="32" xfId="4" applyFont="1" applyFill="1" applyBorder="1" applyAlignment="1" applyProtection="1">
      <alignment horizontal="center" vertical="top"/>
    </xf>
    <xf numFmtId="0" fontId="18" fillId="6" borderId="14" xfId="9" applyFont="1" applyFill="1" applyBorder="1" applyAlignment="1" applyProtection="1">
      <alignment horizontal="center" vertical="top"/>
      <protection locked="0"/>
    </xf>
    <xf numFmtId="43" fontId="41" fillId="6" borderId="28" xfId="4" applyFont="1" applyFill="1" applyBorder="1" applyAlignment="1" applyProtection="1">
      <alignment horizontal="center" vertical="top"/>
    </xf>
    <xf numFmtId="43" fontId="41" fillId="6" borderId="29" xfId="4" applyFont="1" applyFill="1" applyBorder="1" applyAlignment="1" applyProtection="1">
      <alignment horizontal="center" vertical="top"/>
    </xf>
    <xf numFmtId="43" fontId="41" fillId="6" borderId="27" xfId="4" applyFont="1" applyFill="1" applyBorder="1" applyAlignment="1" applyProtection="1">
      <alignment horizontal="center" vertical="top"/>
    </xf>
    <xf numFmtId="43" fontId="17" fillId="0" borderId="2" xfId="3" applyFont="1" applyFill="1" applyBorder="1" applyAlignment="1" applyProtection="1">
      <alignment wrapText="1"/>
    </xf>
    <xf numFmtId="0" fontId="54" fillId="0" borderId="5" xfId="9" applyFont="1" applyBorder="1" applyProtection="1">
      <protection locked="0"/>
    </xf>
    <xf numFmtId="0" fontId="58" fillId="0" borderId="5" xfId="9" applyFont="1" applyBorder="1" applyProtection="1">
      <protection locked="0"/>
    </xf>
    <xf numFmtId="43" fontId="58" fillId="0" borderId="5" xfId="9" applyNumberFormat="1" applyFont="1" applyBorder="1"/>
    <xf numFmtId="164" fontId="58" fillId="0" borderId="5" xfId="9" applyNumberFormat="1" applyFont="1" applyBorder="1"/>
    <xf numFmtId="43" fontId="16" fillId="0" borderId="0" xfId="3" applyFont="1" applyFill="1" applyBorder="1" applyAlignment="1" applyProtection="1">
      <protection locked="0"/>
    </xf>
    <xf numFmtId="43" fontId="1" fillId="0" borderId="0" xfId="3" applyFont="1" applyFill="1" applyBorder="1" applyAlignment="1" applyProtection="1">
      <protection locked="0"/>
    </xf>
    <xf numFmtId="0" fontId="26" fillId="0" borderId="0" xfId="9" applyFont="1" applyProtection="1">
      <protection locked="0"/>
    </xf>
    <xf numFmtId="43" fontId="26" fillId="0" borderId="0" xfId="3" applyFont="1" applyFill="1" applyBorder="1" applyAlignment="1" applyProtection="1"/>
    <xf numFmtId="0" fontId="1" fillId="0" borderId="20" xfId="9" applyFont="1" applyBorder="1" applyAlignment="1" applyProtection="1">
      <alignment wrapText="1"/>
      <protection locked="0"/>
    </xf>
    <xf numFmtId="43" fontId="17" fillId="0" borderId="0" xfId="3" applyFont="1" applyFill="1" applyBorder="1" applyAlignment="1" applyProtection="1">
      <protection locked="0"/>
    </xf>
    <xf numFmtId="43" fontId="26" fillId="0" borderId="0" xfId="9" applyNumberFormat="1" applyFont="1"/>
    <xf numFmtId="0" fontId="32" fillId="0" borderId="0" xfId="9" applyFont="1" applyAlignment="1" applyProtection="1">
      <alignment horizontal="center" vertical="top"/>
      <protection locked="0"/>
    </xf>
    <xf numFmtId="43" fontId="20" fillId="0" borderId="0" xfId="9" applyNumberFormat="1" applyFont="1" applyAlignment="1" applyProtection="1">
      <alignment horizontal="center" vertical="top" wrapText="1"/>
      <protection locked="0"/>
    </xf>
    <xf numFmtId="0" fontId="18" fillId="6" borderId="34" xfId="9" applyFont="1" applyFill="1" applyBorder="1" applyAlignment="1" applyProtection="1">
      <alignment horizontal="center" vertical="top"/>
      <protection locked="0"/>
    </xf>
    <xf numFmtId="0" fontId="18" fillId="6" borderId="36" xfId="9" applyFont="1" applyFill="1" applyBorder="1" applyAlignment="1" applyProtection="1">
      <alignment horizontal="center" vertical="top"/>
      <protection locked="0"/>
    </xf>
    <xf numFmtId="0" fontId="18" fillId="6" borderId="4" xfId="9" applyFont="1" applyFill="1" applyBorder="1" applyAlignment="1" applyProtection="1">
      <alignment horizontal="center" vertical="top"/>
      <protection locked="0"/>
    </xf>
    <xf numFmtId="0" fontId="19" fillId="9" borderId="15" xfId="9" applyFont="1" applyFill="1" applyBorder="1" applyAlignment="1" applyProtection="1">
      <alignment horizontal="center"/>
      <protection locked="0"/>
    </xf>
    <xf numFmtId="43" fontId="19" fillId="9" borderId="28" xfId="4" applyFont="1" applyFill="1" applyBorder="1" applyAlignment="1" applyProtection="1">
      <alignment horizontal="center"/>
    </xf>
    <xf numFmtId="43" fontId="19" fillId="9" borderId="29" xfId="4" applyFont="1" applyFill="1" applyBorder="1" applyAlignment="1" applyProtection="1">
      <alignment horizontal="center"/>
    </xf>
    <xf numFmtId="0" fontId="2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 wrapText="1"/>
      <protection locked="0"/>
    </xf>
    <xf numFmtId="0" fontId="19" fillId="0" borderId="0" xfId="9" applyFont="1" applyAlignment="1" applyProtection="1">
      <alignment horizontal="center"/>
      <protection locked="0"/>
    </xf>
    <xf numFmtId="0" fontId="23" fillId="0" borderId="6" xfId="9" applyFont="1" applyBorder="1" applyAlignment="1">
      <alignment horizontal="left" indent="5"/>
    </xf>
    <xf numFmtId="0" fontId="4" fillId="0" borderId="0" xfId="9" applyAlignment="1" applyProtection="1">
      <alignment horizontal="center" vertical="top"/>
      <protection locked="0"/>
    </xf>
    <xf numFmtId="0" fontId="18" fillId="0" borderId="0" xfId="9" applyFont="1" applyAlignment="1" applyProtection="1">
      <alignment horizontal="center"/>
      <protection locked="0"/>
    </xf>
    <xf numFmtId="0" fontId="42" fillId="0" borderId="0" xfId="9" applyFont="1" applyAlignment="1">
      <alignment horizontal="center"/>
    </xf>
    <xf numFmtId="0" fontId="34" fillId="0" borderId="0" xfId="9" applyFont="1" applyAlignment="1">
      <alignment horizontal="center"/>
    </xf>
    <xf numFmtId="0" fontId="34" fillId="0" borderId="0" xfId="9" applyFont="1" applyAlignment="1">
      <alignment horizontal="left"/>
    </xf>
    <xf numFmtId="0" fontId="1" fillId="0" borderId="1" xfId="9" applyFont="1" applyBorder="1" applyAlignment="1" applyProtection="1">
      <alignment horizontal="center" vertical="top"/>
      <protection locked="0"/>
    </xf>
    <xf numFmtId="43" fontId="29" fillId="0" borderId="0" xfId="1" applyFont="1" applyFill="1" applyBorder="1" applyAlignment="1" applyProtection="1">
      <alignment vertical="top"/>
      <protection locked="0"/>
    </xf>
    <xf numFmtId="0" fontId="0" fillId="8" borderId="0" xfId="0" applyFill="1"/>
    <xf numFmtId="1" fontId="0" fillId="0" borderId="0" xfId="0" applyNumberFormat="1"/>
    <xf numFmtId="0" fontId="59" fillId="0" borderId="0" xfId="0" applyFont="1" applyAlignment="1" applyProtection="1">
      <alignment vertical="center"/>
      <protection locked="0"/>
    </xf>
    <xf numFmtId="0" fontId="60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51" fillId="0" borderId="0" xfId="0" applyFont="1" applyAlignment="1" applyProtection="1">
      <alignment vertical="center"/>
      <protection locked="0"/>
    </xf>
    <xf numFmtId="15" fontId="43" fillId="9" borderId="2" xfId="0" applyNumberFormat="1" applyFont="1" applyFill="1" applyBorder="1" applyAlignment="1">
      <alignment horizontal="center" vertical="center" wrapText="1"/>
    </xf>
    <xf numFmtId="0" fontId="43" fillId="9" borderId="2" xfId="0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43" fillId="9" borderId="2" xfId="0" applyFont="1" applyFill="1" applyBorder="1" applyAlignment="1">
      <alignment horizontal="center" vertical="center"/>
    </xf>
    <xf numFmtId="0" fontId="44" fillId="10" borderId="2" xfId="0" applyFont="1" applyFill="1" applyBorder="1" applyAlignment="1">
      <alignment horizontal="center" vertical="center" wrapText="1"/>
    </xf>
    <xf numFmtId="15" fontId="4" fillId="0" borderId="2" xfId="0" applyNumberFormat="1" applyFont="1" applyBorder="1" applyAlignment="1" applyProtection="1">
      <alignment vertical="top"/>
      <protection locked="0"/>
    </xf>
    <xf numFmtId="0" fontId="4" fillId="0" borderId="2" xfId="0" applyFont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 applyProtection="1">
      <alignment horizontal="center" vertical="top" wrapText="1"/>
      <protection locked="0"/>
    </xf>
    <xf numFmtId="0" fontId="4" fillId="0" borderId="2" xfId="0" applyFont="1" applyBorder="1" applyAlignment="1" applyProtection="1">
      <alignment vertical="top" wrapText="1"/>
      <protection locked="0"/>
    </xf>
    <xf numFmtId="1" fontId="60" fillId="0" borderId="0" xfId="0" applyNumberFormat="1" applyFont="1" applyAlignment="1" applyProtection="1">
      <alignment vertical="center"/>
      <protection locked="0"/>
    </xf>
    <xf numFmtId="1" fontId="8" fillId="0" borderId="0" xfId="0" applyNumberFormat="1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1" fontId="51" fillId="0" borderId="0" xfId="0" applyNumberFormat="1" applyFont="1" applyAlignment="1" applyProtection="1">
      <alignment vertical="center"/>
      <protection locked="0"/>
    </xf>
    <xf numFmtId="43" fontId="11" fillId="7" borderId="2" xfId="1" applyFont="1" applyFill="1" applyBorder="1" applyAlignment="1" applyProtection="1">
      <alignment horizontal="center" vertical="center" wrapText="1"/>
    </xf>
    <xf numFmtId="43" fontId="14" fillId="0" borderId="2" xfId="0" applyNumberFormat="1" applyFont="1" applyBorder="1" applyAlignment="1">
      <alignment vertical="top"/>
    </xf>
    <xf numFmtId="164" fontId="14" fillId="0" borderId="2" xfId="0" applyNumberFormat="1" applyFont="1" applyBorder="1" applyAlignment="1">
      <alignment vertical="top"/>
    </xf>
    <xf numFmtId="0" fontId="4" fillId="0" borderId="0" xfId="0" applyFont="1"/>
    <xf numFmtId="0" fontId="4" fillId="8" borderId="2" xfId="0" applyFont="1" applyFill="1" applyBorder="1" applyAlignment="1" applyProtection="1">
      <alignment vertical="top" wrapText="1"/>
      <protection locked="0"/>
    </xf>
    <xf numFmtId="0" fontId="4" fillId="8" borderId="2" xfId="0" applyFont="1" applyFill="1" applyBorder="1" applyAlignment="1" applyProtection="1">
      <alignment horizontal="center" vertical="top" wrapText="1"/>
      <protection locked="0"/>
    </xf>
    <xf numFmtId="0" fontId="4" fillId="8" borderId="2" xfId="0" applyFont="1" applyFill="1" applyBorder="1" applyAlignment="1" applyProtection="1">
      <alignment horizontal="left" vertical="top" wrapText="1"/>
      <protection locked="0"/>
    </xf>
    <xf numFmtId="43" fontId="14" fillId="8" borderId="2" xfId="0" applyNumberFormat="1" applyFont="1" applyFill="1" applyBorder="1" applyAlignment="1">
      <alignment vertical="top"/>
    </xf>
    <xf numFmtId="164" fontId="14" fillId="8" borderId="2" xfId="0" applyNumberFormat="1" applyFont="1" applyFill="1" applyBorder="1" applyAlignment="1">
      <alignment vertical="top"/>
    </xf>
    <xf numFmtId="0" fontId="4" fillId="0" borderId="2" xfId="10" applyFont="1" applyBorder="1" applyAlignment="1" applyProtection="1">
      <alignment horizontal="left" vertical="top" wrapText="1"/>
      <protection locked="0"/>
    </xf>
    <xf numFmtId="0" fontId="4" fillId="0" borderId="2" xfId="10" applyFont="1" applyBorder="1" applyAlignment="1" applyProtection="1">
      <alignment horizontal="center" vertical="top" wrapText="1"/>
      <protection locked="0"/>
    </xf>
    <xf numFmtId="49" fontId="4" fillId="0" borderId="2" xfId="0" applyNumberFormat="1" applyFont="1" applyBorder="1" applyAlignment="1" applyProtection="1">
      <alignment horizontal="center" vertical="top" wrapText="1"/>
      <protection locked="0"/>
    </xf>
    <xf numFmtId="43" fontId="14" fillId="0" borderId="2" xfId="3" applyFont="1" applyFill="1" applyBorder="1" applyAlignment="1" applyProtection="1">
      <alignment horizontal="center" vertical="top" wrapText="1"/>
    </xf>
    <xf numFmtId="15" fontId="4" fillId="0" borderId="2" xfId="0" applyNumberFormat="1" applyFont="1" applyBorder="1" applyAlignment="1" applyProtection="1">
      <alignment horizontal="center" vertical="top"/>
      <protection locked="0"/>
    </xf>
    <xf numFmtId="0" fontId="4" fillId="8" borderId="2" xfId="10" applyFont="1" applyFill="1" applyBorder="1" applyAlignment="1" applyProtection="1">
      <alignment horizontal="center" vertical="top" wrapText="1"/>
      <protection locked="0"/>
    </xf>
    <xf numFmtId="0" fontId="4" fillId="8" borderId="2" xfId="10" applyFont="1" applyFill="1" applyBorder="1" applyAlignment="1" applyProtection="1">
      <alignment horizontal="left" vertical="top" wrapText="1"/>
      <protection locked="0"/>
    </xf>
    <xf numFmtId="43" fontId="14" fillId="8" borderId="2" xfId="3" applyFont="1" applyFill="1" applyBorder="1" applyAlignment="1" applyProtection="1">
      <alignment horizontal="center" vertical="top" wrapText="1"/>
    </xf>
    <xf numFmtId="0" fontId="0" fillId="4" borderId="0" xfId="0" applyFill="1"/>
    <xf numFmtId="0" fontId="4" fillId="0" borderId="31" xfId="10" applyFont="1" applyBorder="1" applyAlignment="1" applyProtection="1">
      <alignment horizontal="center" vertical="top" wrapText="1"/>
      <protection locked="0"/>
    </xf>
    <xf numFmtId="0" fontId="4" fillId="0" borderId="31" xfId="0" applyFont="1" applyBorder="1" applyAlignment="1" applyProtection="1">
      <alignment horizontal="center" vertical="top" wrapText="1"/>
      <protection locked="0"/>
    </xf>
    <xf numFmtId="43" fontId="14" fillId="0" borderId="2" xfId="3" applyFont="1" applyFill="1" applyBorder="1" applyAlignment="1" applyProtection="1">
      <alignment vertical="top"/>
    </xf>
    <xf numFmtId="15" fontId="4" fillId="8" borderId="2" xfId="0" applyNumberFormat="1" applyFont="1" applyFill="1" applyBorder="1" applyAlignment="1" applyProtection="1">
      <alignment horizontal="center" vertical="top"/>
      <protection locked="0"/>
    </xf>
    <xf numFmtId="0" fontId="4" fillId="0" borderId="4" xfId="0" applyFont="1" applyBorder="1" applyAlignment="1" applyProtection="1">
      <alignment horizontal="center" vertical="top" wrapText="1"/>
      <protection locked="0"/>
    </xf>
    <xf numFmtId="1" fontId="4" fillId="0" borderId="2" xfId="0" applyNumberFormat="1" applyFont="1" applyBorder="1" applyAlignment="1" applyProtection="1">
      <alignment horizontal="center" vertical="top" wrapText="1"/>
      <protection locked="0"/>
    </xf>
    <xf numFmtId="14" fontId="4" fillId="0" borderId="2" xfId="0" applyNumberFormat="1" applyFont="1" applyBorder="1" applyAlignment="1" applyProtection="1">
      <alignment horizontal="center" vertical="top" wrapText="1"/>
      <protection locked="0"/>
    </xf>
    <xf numFmtId="0" fontId="15" fillId="0" borderId="0" xfId="0" applyFont="1" applyAlignment="1" applyProtection="1">
      <alignment horizontal="center" vertical="top" wrapText="1"/>
      <protection locked="0"/>
    </xf>
    <xf numFmtId="0" fontId="17" fillId="7" borderId="37" xfId="0" applyFont="1" applyFill="1" applyBorder="1" applyAlignment="1" applyProtection="1">
      <alignment horizontal="center" vertical="top"/>
      <protection locked="0"/>
    </xf>
    <xf numFmtId="0" fontId="45" fillId="7" borderId="38" xfId="0" applyFont="1" applyFill="1" applyBorder="1" applyAlignment="1" applyProtection="1">
      <alignment horizontal="center" vertical="top" wrapText="1"/>
      <protection locked="0"/>
    </xf>
    <xf numFmtId="0" fontId="0" fillId="0" borderId="22" xfId="0" applyBorder="1"/>
    <xf numFmtId="0" fontId="0" fillId="0" borderId="20" xfId="0" applyBorder="1"/>
    <xf numFmtId="0" fontId="0" fillId="0" borderId="45" xfId="0" applyBorder="1"/>
    <xf numFmtId="0" fontId="16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4" fillId="0" borderId="0" xfId="0" applyFont="1" applyAlignment="1">
      <alignment horizontal="left" indent="3"/>
    </xf>
    <xf numFmtId="0" fontId="0" fillId="0" borderId="0" xfId="0" applyAlignment="1">
      <alignment horizontal="left" indent="3"/>
    </xf>
    <xf numFmtId="0" fontId="4" fillId="0" borderId="0" xfId="0" applyFont="1" applyAlignment="1">
      <alignment vertical="center"/>
    </xf>
    <xf numFmtId="0" fontId="34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34" fillId="0" borderId="0" xfId="9" applyFont="1" applyAlignment="1">
      <alignment horizontal="left" indent="6"/>
    </xf>
    <xf numFmtId="0" fontId="42" fillId="0" borderId="0" xfId="0" applyFont="1" applyAlignment="1">
      <alignment horizontal="left"/>
    </xf>
    <xf numFmtId="0" fontId="15" fillId="0" borderId="0" xfId="0" applyFont="1"/>
    <xf numFmtId="0" fontId="0" fillId="0" borderId="0" xfId="0" applyAlignment="1">
      <alignment horizontal="left"/>
    </xf>
    <xf numFmtId="43" fontId="61" fillId="0" borderId="46" xfId="0" applyNumberFormat="1" applyFont="1" applyBorder="1"/>
    <xf numFmtId="43" fontId="62" fillId="0" borderId="0" xfId="0" applyNumberFormat="1" applyFont="1"/>
    <xf numFmtId="1" fontId="62" fillId="0" borderId="0" xfId="0" applyNumberFormat="1" applyFont="1"/>
    <xf numFmtId="164" fontId="62" fillId="0" borderId="0" xfId="0" applyNumberFormat="1" applyFont="1"/>
    <xf numFmtId="43" fontId="63" fillId="0" borderId="46" xfId="0" applyNumberFormat="1" applyFont="1" applyBorder="1"/>
    <xf numFmtId="1" fontId="28" fillId="0" borderId="0" xfId="3" applyNumberFormat="1" applyFont="1" applyFill="1" applyBorder="1" applyAlignment="1" applyProtection="1">
      <alignment vertical="top" wrapText="1"/>
      <protection locked="0"/>
    </xf>
    <xf numFmtId="0" fontId="64" fillId="0" borderId="0" xfId="0" applyFont="1"/>
    <xf numFmtId="1" fontId="16" fillId="0" borderId="0" xfId="0" applyNumberFormat="1" applyFont="1" applyAlignment="1">
      <alignment horizontal="center"/>
    </xf>
    <xf numFmtId="0" fontId="0" fillId="0" borderId="0" xfId="0" applyAlignment="1">
      <alignment horizontal="left" indent="4"/>
    </xf>
    <xf numFmtId="0" fontId="4" fillId="0" borderId="0" xfId="0" applyFont="1" applyAlignment="1">
      <alignment horizontal="left" indent="6"/>
    </xf>
    <xf numFmtId="1" fontId="34" fillId="0" borderId="0" xfId="9" applyNumberFormat="1" applyFont="1" applyAlignment="1">
      <alignment horizontal="left" indent="3"/>
    </xf>
    <xf numFmtId="15" fontId="1" fillId="0" borderId="0" xfId="9" quotePrefix="1" applyNumberFormat="1" applyFont="1" applyAlignment="1" applyProtection="1">
      <alignment horizontal="left" vertical="top" indent="1"/>
      <protection locked="0"/>
    </xf>
    <xf numFmtId="15" fontId="4" fillId="0" borderId="2" xfId="0" quotePrefix="1" applyNumberFormat="1" applyFont="1" applyBorder="1" applyAlignment="1" applyProtection="1">
      <alignment horizontal="center" vertical="center"/>
      <protection locked="0"/>
    </xf>
    <xf numFmtId="43" fontId="0" fillId="0" borderId="2" xfId="0" applyNumberFormat="1" applyBorder="1" applyAlignment="1">
      <alignment vertical="top"/>
    </xf>
    <xf numFmtId="43" fontId="0" fillId="0" borderId="0" xfId="0" applyNumberFormat="1"/>
    <xf numFmtId="0" fontId="0" fillId="0" borderId="2" xfId="0" applyBorder="1" applyAlignment="1" applyProtection="1">
      <alignment horizontal="center" vertical="top" wrapText="1"/>
      <protection locked="0"/>
    </xf>
    <xf numFmtId="0" fontId="65" fillId="0" borderId="2" xfId="0" applyFont="1" applyBorder="1" applyAlignment="1">
      <alignment horizontal="center" wrapText="1"/>
    </xf>
    <xf numFmtId="0" fontId="0" fillId="0" borderId="2" xfId="10" applyFont="1" applyBorder="1" applyAlignment="1" applyProtection="1">
      <alignment horizontal="center" vertical="top" wrapText="1"/>
      <protection locked="0"/>
    </xf>
    <xf numFmtId="0" fontId="0" fillId="0" borderId="31" xfId="0" applyBorder="1" applyAlignment="1" applyProtection="1">
      <alignment horizontal="center" vertical="top" wrapText="1"/>
      <protection locked="0"/>
    </xf>
    <xf numFmtId="0" fontId="4" fillId="11" borderId="2" xfId="10" applyFont="1" applyFill="1" applyBorder="1" applyAlignment="1" applyProtection="1">
      <alignment horizontal="left" vertical="top" wrapText="1"/>
      <protection locked="0"/>
    </xf>
    <xf numFmtId="15" fontId="4" fillId="8" borderId="0" xfId="0" applyNumberFormat="1" applyFont="1" applyFill="1" applyAlignment="1" applyProtection="1">
      <alignment horizontal="center" vertical="top"/>
      <protection locked="0"/>
    </xf>
    <xf numFmtId="1" fontId="4" fillId="0" borderId="0" xfId="0" applyNumberFormat="1" applyFont="1" applyAlignment="1" applyProtection="1">
      <alignment horizontal="center" vertical="top" wrapText="1"/>
      <protection locked="0"/>
    </xf>
    <xf numFmtId="43" fontId="14" fillId="0" borderId="0" xfId="3" applyFont="1" applyFill="1" applyBorder="1" applyAlignment="1" applyProtection="1">
      <alignment horizontal="center" vertical="top" wrapText="1"/>
    </xf>
    <xf numFmtId="0" fontId="0" fillId="0" borderId="0" xfId="0" applyAlignment="1" applyProtection="1">
      <alignment horizontal="center" vertical="top" wrapText="1"/>
      <protection locked="0"/>
    </xf>
    <xf numFmtId="14" fontId="0" fillId="0" borderId="0" xfId="0" applyNumberFormat="1" applyAlignment="1" applyProtection="1">
      <alignment horizontal="center" vertical="top" wrapText="1"/>
      <protection locked="0"/>
    </xf>
    <xf numFmtId="0" fontId="0" fillId="0" borderId="0" xfId="10" applyFont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alignment horizontal="right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center"/>
      <protection locked="0"/>
    </xf>
    <xf numFmtId="1" fontId="16" fillId="0" borderId="0" xfId="0" applyNumberFormat="1" applyFont="1"/>
    <xf numFmtId="0" fontId="0" fillId="0" borderId="47" xfId="0" applyBorder="1"/>
    <xf numFmtId="1" fontId="0" fillId="0" borderId="47" xfId="0" applyNumberFormat="1" applyBorder="1"/>
    <xf numFmtId="0" fontId="0" fillId="0" borderId="0" xfId="0" applyAlignment="1" applyProtection="1">
      <alignment horizontal="center" vertical="center"/>
      <protection locked="0"/>
    </xf>
    <xf numFmtId="15" fontId="4" fillId="7" borderId="2" xfId="0" applyNumberFormat="1" applyFont="1" applyFill="1" applyBorder="1" applyAlignment="1" applyProtection="1">
      <alignment horizontal="center" vertical="top"/>
      <protection locked="0"/>
    </xf>
    <xf numFmtId="0" fontId="4" fillId="7" borderId="2" xfId="0" applyFont="1" applyFill="1" applyBorder="1" applyAlignment="1" applyProtection="1">
      <alignment horizontal="center" vertical="top" wrapText="1"/>
      <protection locked="0"/>
    </xf>
    <xf numFmtId="0" fontId="4" fillId="7" borderId="2" xfId="10" applyFont="1" applyFill="1" applyBorder="1" applyAlignment="1" applyProtection="1">
      <alignment horizontal="left" vertical="top" wrapText="1"/>
      <protection locked="0"/>
    </xf>
    <xf numFmtId="0" fontId="4" fillId="7" borderId="2" xfId="10" applyFont="1" applyFill="1" applyBorder="1" applyAlignment="1" applyProtection="1">
      <alignment horizontal="center" vertical="top" wrapText="1"/>
      <protection locked="0"/>
    </xf>
    <xf numFmtId="43" fontId="14" fillId="7" borderId="2" xfId="3" applyFont="1" applyFill="1" applyBorder="1" applyAlignment="1" applyProtection="1">
      <alignment horizontal="center" vertical="top" wrapText="1"/>
    </xf>
    <xf numFmtId="0" fontId="4" fillId="7" borderId="31" xfId="0" applyFont="1" applyFill="1" applyBorder="1" applyAlignment="1" applyProtection="1">
      <alignment horizontal="center" vertical="top" wrapText="1"/>
      <protection locked="0"/>
    </xf>
    <xf numFmtId="15" fontId="4" fillId="12" borderId="2" xfId="0" applyNumberFormat="1" applyFont="1" applyFill="1" applyBorder="1" applyAlignment="1" applyProtection="1">
      <alignment horizontal="center" vertical="top"/>
      <protection locked="0"/>
    </xf>
    <xf numFmtId="0" fontId="4" fillId="12" borderId="2" xfId="0" applyFont="1" applyFill="1" applyBorder="1" applyAlignment="1" applyProtection="1">
      <alignment horizontal="center" vertical="top" wrapText="1"/>
      <protection locked="0"/>
    </xf>
    <xf numFmtId="0" fontId="4" fillId="12" borderId="2" xfId="10" applyFont="1" applyFill="1" applyBorder="1" applyAlignment="1" applyProtection="1">
      <alignment horizontal="left" vertical="top" wrapText="1"/>
      <protection locked="0"/>
    </xf>
    <xf numFmtId="0" fontId="4" fillId="12" borderId="2" xfId="10" applyFont="1" applyFill="1" applyBorder="1" applyAlignment="1" applyProtection="1">
      <alignment horizontal="center" vertical="top" wrapText="1"/>
      <protection locked="0"/>
    </xf>
    <xf numFmtId="43" fontId="14" fillId="12" borderId="2" xfId="3" applyFont="1" applyFill="1" applyBorder="1" applyAlignment="1" applyProtection="1">
      <alignment horizontal="center" vertical="top" wrapText="1"/>
    </xf>
    <xf numFmtId="166" fontId="0" fillId="0" borderId="0" xfId="0" applyNumberFormat="1"/>
    <xf numFmtId="166" fontId="4" fillId="8" borderId="0" xfId="0" applyNumberFormat="1" applyFont="1" applyFill="1" applyAlignment="1" applyProtection="1">
      <alignment horizontal="center" vertical="top"/>
      <protection locked="0"/>
    </xf>
    <xf numFmtId="166" fontId="15" fillId="0" borderId="0" xfId="0" applyNumberFormat="1" applyFont="1" applyAlignment="1" applyProtection="1">
      <alignment horizontal="center" vertical="top"/>
      <protection locked="0"/>
    </xf>
    <xf numFmtId="166" fontId="23" fillId="0" borderId="0" xfId="0" applyNumberFormat="1" applyFont="1"/>
    <xf numFmtId="166" fontId="4" fillId="0" borderId="0" xfId="0" applyNumberFormat="1" applyFont="1"/>
    <xf numFmtId="166" fontId="24" fillId="0" borderId="0" xfId="0" applyNumberFormat="1" applyFont="1" applyAlignment="1">
      <alignment horizontal="left" indent="4"/>
    </xf>
    <xf numFmtId="166" fontId="16" fillId="0" borderId="0" xfId="0" applyNumberFormat="1" applyFont="1"/>
    <xf numFmtId="166" fontId="4" fillId="0" borderId="0" xfId="0" applyNumberFormat="1" applyFont="1" applyAlignment="1">
      <alignment horizontal="left"/>
    </xf>
    <xf numFmtId="166" fontId="23" fillId="0" borderId="0" xfId="9" applyNumberFormat="1" applyFont="1" applyAlignment="1">
      <alignment horizontal="left" indent="3"/>
    </xf>
    <xf numFmtId="166" fontId="17" fillId="0" borderId="0" xfId="0" applyNumberFormat="1" applyFont="1" applyAlignment="1">
      <alignment horizontal="left" indent="2"/>
    </xf>
    <xf numFmtId="164" fontId="14" fillId="0" borderId="2" xfId="0" applyNumberFormat="1" applyFont="1" applyBorder="1" applyAlignment="1">
      <alignment horizontal="center" vertical="top"/>
    </xf>
    <xf numFmtId="0" fontId="19" fillId="3" borderId="7" xfId="9" applyFont="1" applyFill="1" applyBorder="1" applyAlignment="1" applyProtection="1">
      <alignment horizontal="center"/>
      <protection locked="0"/>
    </xf>
    <xf numFmtId="43" fontId="19" fillId="3" borderId="7" xfId="3" applyFont="1" applyFill="1" applyBorder="1" applyAlignment="1" applyProtection="1">
      <alignment horizontal="center"/>
    </xf>
    <xf numFmtId="0" fontId="18" fillId="6" borderId="2" xfId="0" applyFont="1" applyFill="1" applyBorder="1" applyAlignment="1" applyProtection="1">
      <alignment horizontal="center" vertical="top"/>
      <protection locked="0"/>
    </xf>
    <xf numFmtId="43" fontId="18" fillId="6" borderId="2" xfId="3" applyFont="1" applyFill="1" applyBorder="1" applyAlignment="1" applyProtection="1">
      <alignment horizontal="center" vertical="top"/>
    </xf>
    <xf numFmtId="0" fontId="17" fillId="0" borderId="0" xfId="0" applyFont="1" applyAlignment="1">
      <alignment horizontal="left" indent="4"/>
    </xf>
    <xf numFmtId="166" fontId="24" fillId="9" borderId="2" xfId="0" applyNumberFormat="1" applyFont="1" applyFill="1" applyBorder="1" applyAlignment="1">
      <alignment horizontal="center" vertical="center" wrapText="1"/>
    </xf>
    <xf numFmtId="0" fontId="24" fillId="9" borderId="2" xfId="9" applyFont="1" applyFill="1" applyBorder="1" applyAlignment="1">
      <alignment horizontal="center" vertical="center" wrapText="1"/>
    </xf>
    <xf numFmtId="0" fontId="16" fillId="9" borderId="2" xfId="9" applyFont="1" applyFill="1" applyBorder="1" applyAlignment="1">
      <alignment horizontal="center" vertical="center" wrapText="1"/>
    </xf>
    <xf numFmtId="43" fontId="16" fillId="9" borderId="2" xfId="3" applyFont="1" applyFill="1" applyBorder="1" applyAlignment="1" applyProtection="1">
      <alignment horizontal="center" vertical="center" wrapText="1"/>
    </xf>
    <xf numFmtId="43" fontId="17" fillId="9" borderId="2" xfId="3" applyFont="1" applyFill="1" applyBorder="1" applyAlignment="1" applyProtection="1">
      <alignment horizontal="center" vertical="center" wrapText="1"/>
    </xf>
    <xf numFmtId="164" fontId="17" fillId="9" borderId="2" xfId="3" applyNumberFormat="1" applyFont="1" applyFill="1" applyBorder="1" applyAlignment="1" applyProtection="1">
      <alignment horizontal="center" vertical="center" wrapText="1"/>
    </xf>
    <xf numFmtId="0" fontId="17" fillId="9" borderId="2" xfId="9" applyFont="1" applyFill="1" applyBorder="1" applyAlignment="1">
      <alignment horizontal="center" vertical="top" wrapText="1"/>
    </xf>
    <xf numFmtId="0" fontId="17" fillId="9" borderId="2" xfId="9" applyFont="1" applyFill="1" applyBorder="1" applyAlignment="1">
      <alignment horizontal="center" vertical="center" wrapText="1"/>
    </xf>
    <xf numFmtId="15" fontId="1" fillId="0" borderId="5" xfId="9" applyNumberFormat="1" applyFont="1" applyBorder="1" applyProtection="1">
      <protection locked="0"/>
    </xf>
    <xf numFmtId="15" fontId="1" fillId="0" borderId="0" xfId="9" applyNumberFormat="1" applyFont="1" applyProtection="1">
      <protection locked="0"/>
    </xf>
    <xf numFmtId="15" fontId="1" fillId="0" borderId="0" xfId="9" applyNumberFormat="1" applyFont="1" applyAlignment="1" applyProtection="1">
      <alignment vertical="top"/>
      <protection locked="0"/>
    </xf>
    <xf numFmtId="0" fontId="22" fillId="0" borderId="0" xfId="9" applyFont="1" applyAlignment="1" applyProtection="1">
      <alignment horizontal="left" indent="7"/>
      <protection locked="0"/>
    </xf>
    <xf numFmtId="0" fontId="23" fillId="0" borderId="0" xfId="9" applyFont="1" applyAlignment="1">
      <alignment horizontal="left" indent="5"/>
    </xf>
    <xf numFmtId="0" fontId="17" fillId="0" borderId="1" xfId="0" applyFont="1" applyBorder="1" applyAlignment="1">
      <alignment horizontal="left" indent="5"/>
    </xf>
    <xf numFmtId="166" fontId="22" fillId="9" borderId="2" xfId="0" applyNumberFormat="1" applyFont="1" applyFill="1" applyBorder="1" applyAlignment="1">
      <alignment horizontal="center" vertical="center" wrapText="1"/>
    </xf>
    <xf numFmtId="0" fontId="16" fillId="9" borderId="2" xfId="0" applyFont="1" applyFill="1" applyBorder="1" applyAlignment="1">
      <alignment horizontal="center" vertical="center" wrapText="1"/>
    </xf>
    <xf numFmtId="0" fontId="68" fillId="10" borderId="2" xfId="0" applyFont="1" applyFill="1" applyBorder="1" applyAlignment="1">
      <alignment horizontal="center" vertical="center" wrapText="1"/>
    </xf>
    <xf numFmtId="43" fontId="16" fillId="7" borderId="2" xfId="1" applyFont="1" applyFill="1" applyBorder="1" applyAlignment="1" applyProtection="1">
      <alignment horizontal="center" vertical="center" wrapText="1"/>
    </xf>
    <xf numFmtId="0" fontId="16" fillId="7" borderId="2" xfId="0" applyFont="1" applyFill="1" applyBorder="1" applyAlignment="1">
      <alignment horizontal="center" vertical="center" wrapText="1"/>
    </xf>
    <xf numFmtId="15" fontId="1" fillId="0" borderId="1" xfId="9" applyNumberFormat="1" applyFont="1" applyBorder="1" applyAlignment="1" applyProtection="1">
      <alignment vertical="top"/>
      <protection locked="0"/>
    </xf>
    <xf numFmtId="15" fontId="1" fillId="0" borderId="5" xfId="9" applyNumberFormat="1" applyFont="1" applyBorder="1" applyAlignment="1" applyProtection="1">
      <alignment vertical="top"/>
      <protection locked="0"/>
    </xf>
    <xf numFmtId="0" fontId="23" fillId="0" borderId="0" xfId="9" applyFont="1" applyAlignment="1">
      <alignment horizontal="left" indent="7"/>
    </xf>
    <xf numFmtId="0" fontId="24" fillId="0" borderId="0" xfId="0" applyFont="1" applyAlignment="1">
      <alignment horizontal="left" indent="6"/>
    </xf>
    <xf numFmtId="0" fontId="17" fillId="0" borderId="1" xfId="0" applyFont="1" applyBorder="1" applyAlignment="1">
      <alignment horizontal="left" indent="7"/>
    </xf>
    <xf numFmtId="0" fontId="17" fillId="0" borderId="0" xfId="0" applyFont="1" applyAlignment="1">
      <alignment horizontal="left" indent="8"/>
    </xf>
    <xf numFmtId="15" fontId="1" fillId="0" borderId="5" xfId="0" applyNumberFormat="1" applyFont="1" applyBorder="1" applyAlignment="1" applyProtection="1">
      <alignment horizontal="center"/>
      <protection locked="0"/>
    </xf>
    <xf numFmtId="15" fontId="1" fillId="0" borderId="0" xfId="0" applyNumberFormat="1" applyFont="1" applyAlignment="1" applyProtection="1">
      <alignment horizontal="center"/>
      <protection locked="0"/>
    </xf>
    <xf numFmtId="15" fontId="1" fillId="0" borderId="0" xfId="0" applyNumberFormat="1" applyFont="1" applyAlignment="1" applyProtection="1">
      <alignment horizontal="center" vertical="top"/>
      <protection locked="0"/>
    </xf>
    <xf numFmtId="15" fontId="1" fillId="0" borderId="5" xfId="0" applyNumberFormat="1" applyFont="1" applyBorder="1" applyAlignment="1" applyProtection="1">
      <alignment horizontal="center" vertical="top"/>
      <protection locked="0"/>
    </xf>
    <xf numFmtId="0" fontId="22" fillId="0" borderId="0" xfId="0" applyFont="1" applyAlignment="1" applyProtection="1">
      <alignment horizontal="left" indent="5"/>
      <protection locked="0"/>
    </xf>
    <xf numFmtId="0" fontId="23" fillId="0" borderId="0" xfId="0" applyFont="1" applyAlignment="1">
      <alignment horizontal="left" indent="4"/>
    </xf>
    <xf numFmtId="0" fontId="22" fillId="0" borderId="0" xfId="9" applyFont="1" applyAlignment="1" applyProtection="1">
      <alignment horizontal="left" indent="10"/>
      <protection locked="0"/>
    </xf>
    <xf numFmtId="0" fontId="23" fillId="0" borderId="0" xfId="9" applyFont="1" applyAlignment="1">
      <alignment horizontal="left" indent="9"/>
    </xf>
    <xf numFmtId="0" fontId="17" fillId="0" borderId="1" xfId="0" applyFont="1" applyBorder="1" applyAlignment="1">
      <alignment horizontal="left" indent="9"/>
    </xf>
    <xf numFmtId="166" fontId="16" fillId="9" borderId="2" xfId="0" applyNumberFormat="1" applyFont="1" applyFill="1" applyBorder="1" applyAlignment="1">
      <alignment horizontal="center" vertical="center" wrapText="1"/>
    </xf>
    <xf numFmtId="43" fontId="18" fillId="6" borderId="31" xfId="3" applyFont="1" applyFill="1" applyBorder="1" applyAlignment="1" applyProtection="1">
      <alignment horizontal="center" vertical="center"/>
    </xf>
    <xf numFmtId="43" fontId="18" fillId="6" borderId="31" xfId="3" applyFont="1" applyFill="1" applyBorder="1" applyAlignment="1" applyProtection="1">
      <alignment horizontal="left" indent="5"/>
    </xf>
    <xf numFmtId="43" fontId="18" fillId="6" borderId="28" xfId="3" applyFont="1" applyFill="1" applyBorder="1" applyAlignment="1" applyProtection="1">
      <alignment horizontal="left" indent="5"/>
    </xf>
    <xf numFmtId="43" fontId="18" fillId="6" borderId="31" xfId="3" applyFont="1" applyFill="1" applyBorder="1" applyAlignment="1" applyProtection="1">
      <alignment horizontal="right" indent="3"/>
    </xf>
    <xf numFmtId="0" fontId="16" fillId="9" borderId="2" xfId="0" applyFont="1" applyFill="1" applyBorder="1" applyAlignment="1">
      <alignment horizontal="center" vertical="center"/>
    </xf>
    <xf numFmtId="0" fontId="69" fillId="10" borderId="2" xfId="9" applyFont="1" applyFill="1" applyBorder="1" applyAlignment="1">
      <alignment horizontal="center" vertical="center" wrapText="1"/>
    </xf>
    <xf numFmtId="43" fontId="41" fillId="6" borderId="28" xfId="4" applyFont="1" applyFill="1" applyBorder="1" applyAlignment="1" applyProtection="1">
      <alignment horizontal="left" vertical="top" indent="8"/>
    </xf>
    <xf numFmtId="43" fontId="41" fillId="6" borderId="31" xfId="4" applyFont="1" applyFill="1" applyBorder="1" applyAlignment="1" applyProtection="1">
      <alignment horizontal="left" vertical="top" indent="8"/>
    </xf>
    <xf numFmtId="43" fontId="41" fillId="6" borderId="29" xfId="4" applyFont="1" applyFill="1" applyBorder="1" applyAlignment="1" applyProtection="1">
      <alignment horizontal="left" vertical="top" indent="6"/>
    </xf>
    <xf numFmtId="43" fontId="41" fillId="6" borderId="32" xfId="4" applyFont="1" applyFill="1" applyBorder="1" applyAlignment="1" applyProtection="1">
      <alignment horizontal="left" vertical="top" indent="6"/>
    </xf>
    <xf numFmtId="0" fontId="34" fillId="0" borderId="0" xfId="9" applyFont="1" applyAlignment="1">
      <alignment horizontal="left" indent="9"/>
    </xf>
    <xf numFmtId="0" fontId="51" fillId="0" borderId="0" xfId="9" applyFont="1" applyAlignment="1" applyProtection="1">
      <alignment horizontal="left" vertical="center" indent="1"/>
      <protection locked="0"/>
    </xf>
    <xf numFmtId="0" fontId="51" fillId="0" borderId="0" xfId="9" applyFont="1" applyAlignment="1" applyProtection="1">
      <alignment horizontal="left" vertical="center" indent="5"/>
      <protection locked="0"/>
    </xf>
    <xf numFmtId="0" fontId="49" fillId="0" borderId="0" xfId="9" applyFont="1" applyAlignment="1" applyProtection="1">
      <alignment horizontal="left" indent="1"/>
      <protection locked="0"/>
    </xf>
    <xf numFmtId="0" fontId="4" fillId="0" borderId="2" xfId="9" applyBorder="1" applyAlignment="1" applyProtection="1">
      <alignment horizontal="center" vertical="center"/>
      <protection locked="0"/>
    </xf>
    <xf numFmtId="15" fontId="4" fillId="0" borderId="2" xfId="9" applyNumberFormat="1" applyBorder="1" applyAlignment="1" applyProtection="1">
      <alignment horizontal="center" vertical="top"/>
      <protection locked="0"/>
    </xf>
    <xf numFmtId="0" fontId="4" fillId="0" borderId="2" xfId="9" applyBorder="1" applyAlignment="1" applyProtection="1">
      <alignment vertical="top" wrapText="1"/>
      <protection locked="0"/>
    </xf>
    <xf numFmtId="0" fontId="4" fillId="0" borderId="2" xfId="9" applyBorder="1" applyAlignment="1" applyProtection="1">
      <alignment horizontal="center" vertical="top" wrapText="1"/>
      <protection locked="0"/>
    </xf>
    <xf numFmtId="0" fontId="4" fillId="0" borderId="2" xfId="9" applyBorder="1" applyAlignment="1" applyProtection="1">
      <alignment horizontal="left" vertical="top" wrapText="1"/>
      <protection locked="0"/>
    </xf>
    <xf numFmtId="43" fontId="14" fillId="0" borderId="2" xfId="4" applyFont="1" applyFill="1" applyBorder="1" applyAlignment="1" applyProtection="1">
      <alignment horizontal="center" vertical="top" wrapText="1"/>
    </xf>
    <xf numFmtId="43" fontId="4" fillId="0" borderId="2" xfId="3" applyFont="1" applyFill="1" applyBorder="1" applyAlignment="1" applyProtection="1">
      <alignment vertical="top"/>
      <protection locked="0"/>
    </xf>
    <xf numFmtId="164" fontId="14" fillId="0" borderId="2" xfId="9" applyNumberFormat="1" applyFont="1" applyBorder="1" applyAlignment="1">
      <alignment vertical="top"/>
    </xf>
    <xf numFmtId="15" fontId="4" fillId="8" borderId="2" xfId="9" applyNumberFormat="1" applyFill="1" applyBorder="1" applyAlignment="1" applyProtection="1">
      <alignment horizontal="center" vertical="top"/>
      <protection locked="0"/>
    </xf>
    <xf numFmtId="0" fontId="4" fillId="8" borderId="2" xfId="9" applyFill="1" applyBorder="1" applyAlignment="1" applyProtection="1">
      <alignment vertical="top" wrapText="1"/>
      <protection locked="0"/>
    </xf>
    <xf numFmtId="0" fontId="4" fillId="8" borderId="2" xfId="9" applyFill="1" applyBorder="1" applyAlignment="1" applyProtection="1">
      <alignment horizontal="center" vertical="top" wrapText="1"/>
      <protection locked="0"/>
    </xf>
    <xf numFmtId="0" fontId="4" fillId="8" borderId="2" xfId="9" applyFill="1" applyBorder="1" applyAlignment="1" applyProtection="1">
      <alignment horizontal="left" vertical="top" wrapText="1"/>
      <protection locked="0"/>
    </xf>
    <xf numFmtId="43" fontId="14" fillId="8" borderId="2" xfId="4" applyFont="1" applyFill="1" applyBorder="1" applyAlignment="1" applyProtection="1">
      <alignment horizontal="center" vertical="top" wrapText="1"/>
    </xf>
    <xf numFmtId="43" fontId="4" fillId="8" borderId="2" xfId="3" applyFont="1" applyFill="1" applyBorder="1" applyAlignment="1" applyProtection="1">
      <alignment vertical="top"/>
      <protection locked="0"/>
    </xf>
    <xf numFmtId="164" fontId="14" fillId="8" borderId="2" xfId="9" applyNumberFormat="1" applyFont="1" applyFill="1" applyBorder="1" applyAlignment="1">
      <alignment vertical="top"/>
    </xf>
    <xf numFmtId="43" fontId="14" fillId="8" borderId="2" xfId="3" applyFont="1" applyFill="1" applyBorder="1" applyAlignment="1" applyProtection="1">
      <alignment vertical="top"/>
    </xf>
    <xf numFmtId="15" fontId="4" fillId="0" borderId="2" xfId="9" applyNumberFormat="1" applyBorder="1" applyAlignment="1" applyProtection="1">
      <alignment vertical="top"/>
      <protection locked="0"/>
    </xf>
    <xf numFmtId="43" fontId="14" fillId="0" borderId="2" xfId="9" applyNumberFormat="1" applyFont="1" applyBorder="1" applyAlignment="1">
      <alignment vertical="top"/>
    </xf>
    <xf numFmtId="14" fontId="4" fillId="0" borderId="2" xfId="9" applyNumberFormat="1" applyBorder="1" applyProtection="1">
      <protection locked="0"/>
    </xf>
    <xf numFmtId="43" fontId="4" fillId="0" borderId="2" xfId="3" applyFont="1" applyFill="1" applyBorder="1" applyAlignment="1" applyProtection="1">
      <alignment wrapText="1"/>
      <protection locked="0"/>
    </xf>
    <xf numFmtId="43" fontId="4" fillId="0" borderId="2" xfId="3" applyFont="1" applyFill="1" applyBorder="1" applyAlignment="1" applyProtection="1">
      <alignment horizontal="center" wrapText="1"/>
      <protection locked="0"/>
    </xf>
    <xf numFmtId="43" fontId="16" fillId="0" borderId="2" xfId="3" applyFont="1" applyFill="1" applyBorder="1" applyAlignment="1" applyProtection="1">
      <alignment wrapText="1"/>
      <protection locked="0"/>
    </xf>
    <xf numFmtId="43" fontId="4" fillId="0" borderId="2" xfId="9" applyNumberFormat="1" applyBorder="1" applyAlignment="1" applyProtection="1">
      <alignment wrapText="1"/>
      <protection locked="0"/>
    </xf>
    <xf numFmtId="15" fontId="4" fillId="0" borderId="19" xfId="9" applyNumberFormat="1" applyBorder="1" applyProtection="1">
      <protection locked="0"/>
    </xf>
    <xf numFmtId="15" fontId="4" fillId="0" borderId="5" xfId="9" applyNumberFormat="1" applyBorder="1" applyProtection="1">
      <protection locked="0"/>
    </xf>
    <xf numFmtId="0" fontId="4" fillId="0" borderId="5" xfId="9" applyBorder="1" applyAlignment="1" applyProtection="1">
      <alignment wrapText="1"/>
      <protection locked="0"/>
    </xf>
    <xf numFmtId="0" fontId="4" fillId="0" borderId="23" xfId="9" applyBorder="1" applyAlignment="1" applyProtection="1">
      <alignment wrapText="1"/>
      <protection locked="0"/>
    </xf>
    <xf numFmtId="15" fontId="16" fillId="0" borderId="2" xfId="9" applyNumberFormat="1" applyFont="1" applyBorder="1" applyAlignment="1" applyProtection="1">
      <alignment horizontal="center" vertical="center"/>
      <protection locked="0"/>
    </xf>
    <xf numFmtId="43" fontId="4" fillId="0" borderId="2" xfId="3" applyFont="1" applyFill="1" applyBorder="1" applyAlignment="1" applyProtection="1">
      <alignment vertical="top" wrapText="1"/>
    </xf>
    <xf numFmtId="2" fontId="4" fillId="0" borderId="2" xfId="9" applyNumberFormat="1" applyBorder="1" applyAlignment="1" applyProtection="1">
      <alignment horizontal="center" vertical="top" wrapText="1"/>
      <protection locked="0"/>
    </xf>
    <xf numFmtId="43" fontId="4" fillId="0" borderId="2" xfId="3" applyFont="1" applyFill="1" applyBorder="1" applyAlignment="1" applyProtection="1">
      <alignment vertical="top"/>
    </xf>
    <xf numFmtId="164" fontId="14" fillId="0" borderId="2" xfId="9" applyNumberFormat="1" applyFont="1" applyBorder="1" applyAlignment="1">
      <alignment horizontal="center" vertical="top"/>
    </xf>
    <xf numFmtId="0" fontId="4" fillId="2" borderId="2" xfId="9" applyFill="1" applyBorder="1" applyAlignment="1" applyProtection="1">
      <alignment vertical="top" wrapText="1"/>
      <protection locked="0"/>
    </xf>
    <xf numFmtId="15" fontId="4" fillId="8" borderId="2" xfId="9" applyNumberFormat="1" applyFill="1" applyBorder="1" applyAlignment="1" applyProtection="1">
      <alignment vertical="top"/>
      <protection locked="0"/>
    </xf>
    <xf numFmtId="43" fontId="4" fillId="8" borderId="2" xfId="3" applyFont="1" applyFill="1" applyBorder="1" applyAlignment="1" applyProtection="1">
      <alignment vertical="top" wrapText="1"/>
    </xf>
    <xf numFmtId="2" fontId="4" fillId="8" borderId="2" xfId="9" applyNumberFormat="1" applyFill="1" applyBorder="1" applyAlignment="1" applyProtection="1">
      <alignment horizontal="center" vertical="top" wrapText="1"/>
      <protection locked="0"/>
    </xf>
    <xf numFmtId="43" fontId="4" fillId="8" borderId="2" xfId="3" applyFont="1" applyFill="1" applyBorder="1" applyAlignment="1" applyProtection="1">
      <alignment vertical="top"/>
    </xf>
    <xf numFmtId="43" fontId="14" fillId="8" borderId="2" xfId="9" applyNumberFormat="1" applyFont="1" applyFill="1" applyBorder="1" applyAlignment="1">
      <alignment vertical="top"/>
    </xf>
    <xf numFmtId="164" fontId="14" fillId="8" borderId="2" xfId="9" applyNumberFormat="1" applyFont="1" applyFill="1" applyBorder="1" applyAlignment="1">
      <alignment horizontal="center" vertical="top"/>
    </xf>
    <xf numFmtId="49" fontId="4" fillId="0" borderId="2" xfId="9" applyNumberFormat="1" applyBorder="1" applyAlignment="1" applyProtection="1">
      <alignment horizontal="center" vertical="top" wrapText="1"/>
      <protection locked="0"/>
    </xf>
    <xf numFmtId="49" fontId="4" fillId="8" borderId="2" xfId="9" applyNumberFormat="1" applyFill="1" applyBorder="1" applyAlignment="1" applyProtection="1">
      <alignment horizontal="center" vertical="top" wrapText="1"/>
      <protection locked="0"/>
    </xf>
    <xf numFmtId="43" fontId="4" fillId="0" borderId="2" xfId="4" applyFont="1" applyFill="1" applyBorder="1" applyAlignment="1" applyProtection="1">
      <alignment vertical="top"/>
    </xf>
    <xf numFmtId="0" fontId="70" fillId="8" borderId="2" xfId="11" applyFont="1" applyFill="1" applyBorder="1" applyAlignment="1" applyProtection="1">
      <alignment horizontal="center" vertical="center" wrapText="1"/>
      <protection locked="0"/>
    </xf>
    <xf numFmtId="0" fontId="53" fillId="0" borderId="0" xfId="0" applyFont="1"/>
    <xf numFmtId="1" fontId="72" fillId="0" borderId="0" xfId="0" applyNumberFormat="1" applyFont="1" applyAlignment="1" applyProtection="1">
      <alignment vertical="center"/>
      <protection locked="0"/>
    </xf>
    <xf numFmtId="1" fontId="53" fillId="0" borderId="0" xfId="0" applyNumberFormat="1" applyFont="1"/>
    <xf numFmtId="0" fontId="72" fillId="0" borderId="0" xfId="0" applyFont="1" applyAlignment="1" applyProtection="1">
      <alignment vertical="center"/>
      <protection locked="0"/>
    </xf>
    <xf numFmtId="0" fontId="53" fillId="8" borderId="2" xfId="0" applyFont="1" applyFill="1" applyBorder="1" applyAlignment="1" applyProtection="1">
      <alignment horizontal="center" vertical="top" wrapText="1"/>
      <protection locked="0"/>
    </xf>
    <xf numFmtId="0" fontId="71" fillId="8" borderId="2" xfId="0" applyFont="1" applyFill="1" applyBorder="1" applyAlignment="1">
      <alignment horizontal="center"/>
    </xf>
    <xf numFmtId="0" fontId="53" fillId="8" borderId="2" xfId="10" applyFont="1" applyFill="1" applyBorder="1" applyAlignment="1" applyProtection="1">
      <alignment horizontal="center" vertical="top" wrapText="1"/>
      <protection locked="0"/>
    </xf>
    <xf numFmtId="43" fontId="53" fillId="8" borderId="2" xfId="0" applyNumberFormat="1" applyFont="1" applyFill="1" applyBorder="1" applyAlignment="1">
      <alignment horizontal="center" vertical="top"/>
    </xf>
    <xf numFmtId="0" fontId="53" fillId="0" borderId="0" xfId="0" applyFont="1" applyAlignment="1" applyProtection="1">
      <alignment horizontal="center" vertical="top" wrapText="1"/>
      <protection locked="0"/>
    </xf>
    <xf numFmtId="15" fontId="2" fillId="0" borderId="2" xfId="0" applyNumberFormat="1" applyFont="1" applyBorder="1" applyAlignment="1" applyProtection="1">
      <alignment horizontal="center" vertical="top"/>
      <protection locked="0"/>
    </xf>
    <xf numFmtId="15" fontId="2" fillId="0" borderId="2" xfId="9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top" wrapText="1"/>
      <protection locked="0"/>
    </xf>
    <xf numFmtId="0" fontId="2" fillId="0" borderId="2" xfId="10" applyFont="1" applyBorder="1" applyAlignment="1" applyProtection="1">
      <alignment horizontal="left" vertical="top" wrapText="1"/>
      <protection locked="0"/>
    </xf>
    <xf numFmtId="0" fontId="2" fillId="0" borderId="2" xfId="10" applyFont="1" applyBorder="1" applyAlignment="1" applyProtection="1">
      <alignment horizontal="center" vertical="top" wrapText="1"/>
      <protection locked="0"/>
    </xf>
    <xf numFmtId="43" fontId="73" fillId="0" borderId="2" xfId="3" applyFont="1" applyFill="1" applyBorder="1" applyAlignment="1" applyProtection="1">
      <alignment horizontal="center" vertical="top" wrapText="1"/>
    </xf>
    <xf numFmtId="43" fontId="2" fillId="0" borderId="2" xfId="1" applyFont="1" applyFill="1" applyBorder="1" applyAlignment="1" applyProtection="1">
      <alignment vertical="top"/>
    </xf>
    <xf numFmtId="1" fontId="2" fillId="0" borderId="2" xfId="3" applyNumberFormat="1" applyFont="1" applyFill="1" applyBorder="1" applyAlignment="1" applyProtection="1">
      <alignment vertical="top"/>
    </xf>
    <xf numFmtId="1" fontId="2" fillId="8" borderId="2" xfId="3" applyNumberFormat="1" applyFont="1" applyFill="1" applyBorder="1" applyAlignment="1" applyProtection="1">
      <alignment vertical="top"/>
    </xf>
    <xf numFmtId="164" fontId="73" fillId="0" borderId="2" xfId="0" applyNumberFormat="1" applyFont="1" applyBorder="1" applyAlignment="1">
      <alignment vertical="top"/>
    </xf>
    <xf numFmtId="0" fontId="2" fillId="0" borderId="2" xfId="0" applyFont="1" applyBorder="1" applyAlignment="1" applyProtection="1">
      <alignment horizontal="center" vertical="center" wrapText="1"/>
      <protection locked="0"/>
    </xf>
    <xf numFmtId="15" fontId="22" fillId="9" borderId="2" xfId="0" applyNumberFormat="1" applyFont="1" applyFill="1" applyBorder="1" applyAlignment="1">
      <alignment horizontal="center" vertical="center" wrapText="1"/>
    </xf>
    <xf numFmtId="0" fontId="30" fillId="10" borderId="2" xfId="0" applyFont="1" applyFill="1" applyBorder="1" applyAlignment="1">
      <alignment vertical="center" wrapText="1"/>
    </xf>
    <xf numFmtId="15" fontId="22" fillId="9" borderId="3" xfId="0" applyNumberFormat="1" applyFont="1" applyFill="1" applyBorder="1" applyAlignment="1">
      <alignment horizontal="center" vertical="center" wrapText="1"/>
    </xf>
    <xf numFmtId="0" fontId="4" fillId="0" borderId="3" xfId="9" applyBorder="1" applyAlignment="1" applyProtection="1">
      <alignment horizontal="center" vertical="center" wrapText="1"/>
      <protection locked="0"/>
    </xf>
    <xf numFmtId="0" fontId="4" fillId="8" borderId="3" xfId="0" applyFont="1" applyFill="1" applyBorder="1" applyAlignment="1" applyProtection="1">
      <alignment horizontal="center" vertical="center" wrapText="1"/>
      <protection locked="0"/>
    </xf>
    <xf numFmtId="43" fontId="4" fillId="8" borderId="3" xfId="3" applyFont="1" applyFill="1" applyBorder="1" applyAlignment="1" applyProtection="1">
      <alignment horizontal="center" vertical="center" wrapText="1"/>
      <protection locked="0"/>
    </xf>
    <xf numFmtId="43" fontId="4" fillId="0" borderId="3" xfId="3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vertical="top" wrapText="1"/>
      <protection locked="0"/>
    </xf>
    <xf numFmtId="0" fontId="0" fillId="0" borderId="2" xfId="0" applyBorder="1"/>
    <xf numFmtId="0" fontId="2" fillId="8" borderId="2" xfId="0" applyFont="1" applyFill="1" applyBorder="1" applyAlignment="1">
      <alignment horizontal="center" wrapText="1"/>
    </xf>
    <xf numFmtId="0" fontId="53" fillId="8" borderId="31" xfId="10" applyFont="1" applyFill="1" applyBorder="1" applyAlignment="1" applyProtection="1">
      <alignment horizontal="center" vertical="top" wrapText="1"/>
      <protection locked="0"/>
    </xf>
    <xf numFmtId="14" fontId="53" fillId="8" borderId="2" xfId="0" applyNumberFormat="1" applyFont="1" applyFill="1" applyBorder="1" applyAlignment="1" applyProtection="1">
      <alignment horizontal="center" vertical="top" wrapText="1"/>
      <protection locked="0"/>
    </xf>
    <xf numFmtId="0" fontId="53" fillId="8" borderId="2" xfId="0" applyFont="1" applyFill="1" applyBorder="1" applyAlignment="1" applyProtection="1">
      <alignment horizontal="center" vertical="top"/>
      <protection locked="0"/>
    </xf>
    <xf numFmtId="1" fontId="53" fillId="8" borderId="2" xfId="0" applyNumberFormat="1" applyFont="1" applyFill="1" applyBorder="1" applyAlignment="1" applyProtection="1">
      <alignment horizontal="center" vertical="top" wrapText="1"/>
      <protection locked="0"/>
    </xf>
    <xf numFmtId="43" fontId="2" fillId="8" borderId="2" xfId="0" applyNumberFormat="1" applyFont="1" applyFill="1" applyBorder="1" applyAlignment="1">
      <alignment horizontal="center" vertical="top"/>
    </xf>
    <xf numFmtId="0" fontId="53" fillId="8" borderId="31" xfId="0" applyFont="1" applyFill="1" applyBorder="1" applyAlignment="1" applyProtection="1">
      <alignment horizontal="center" vertical="top" wrapText="1"/>
      <protection locked="0"/>
    </xf>
    <xf numFmtId="164" fontId="2" fillId="8" borderId="2" xfId="0" applyNumberFormat="1" applyFont="1" applyFill="1" applyBorder="1" applyAlignment="1">
      <alignment horizontal="center" vertical="top"/>
    </xf>
    <xf numFmtId="1" fontId="16" fillId="7" borderId="2" xfId="3" applyNumberFormat="1" applyFont="1" applyFill="1" applyBorder="1" applyAlignment="1" applyProtection="1">
      <alignment horizontal="center" vertical="center" wrapText="1"/>
    </xf>
    <xf numFmtId="15" fontId="2" fillId="8" borderId="2" xfId="0" applyNumberFormat="1" applyFont="1" applyFill="1" applyBorder="1" applyAlignment="1" applyProtection="1">
      <alignment horizontal="center" vertical="top"/>
      <protection locked="0"/>
    </xf>
    <xf numFmtId="15" fontId="2" fillId="8" borderId="2" xfId="9" applyNumberFormat="1" applyFont="1" applyFill="1" applyBorder="1" applyAlignment="1" applyProtection="1">
      <alignment horizontal="center" vertical="center"/>
      <protection locked="0"/>
    </xf>
    <xf numFmtId="0" fontId="2" fillId="8" borderId="2" xfId="0" applyFont="1" applyFill="1" applyBorder="1" applyAlignment="1" applyProtection="1">
      <alignment horizontal="center" vertical="top" wrapText="1"/>
      <protection locked="0"/>
    </xf>
    <xf numFmtId="0" fontId="2" fillId="8" borderId="2" xfId="10" applyFont="1" applyFill="1" applyBorder="1" applyAlignment="1" applyProtection="1">
      <alignment horizontal="left" vertical="top" wrapText="1"/>
      <protection locked="0"/>
    </xf>
    <xf numFmtId="0" fontId="2" fillId="8" borderId="2" xfId="0" applyFont="1" applyFill="1" applyBorder="1" applyAlignment="1" applyProtection="1">
      <alignment horizontal="center" vertical="center" wrapText="1"/>
      <protection locked="0"/>
    </xf>
    <xf numFmtId="43" fontId="73" fillId="8" borderId="2" xfId="3" applyFont="1" applyFill="1" applyBorder="1" applyAlignment="1" applyProtection="1">
      <alignment horizontal="center" vertical="top" wrapText="1"/>
    </xf>
    <xf numFmtId="43" fontId="2" fillId="8" borderId="2" xfId="1" applyFont="1" applyFill="1" applyBorder="1" applyAlignment="1" applyProtection="1">
      <alignment vertical="top"/>
    </xf>
    <xf numFmtId="164" fontId="73" fillId="8" borderId="2" xfId="0" applyNumberFormat="1" applyFont="1" applyFill="1" applyBorder="1" applyAlignment="1">
      <alignment vertical="top"/>
    </xf>
    <xf numFmtId="43" fontId="0" fillId="8" borderId="2" xfId="0" applyNumberFormat="1" applyFill="1" applyBorder="1" applyAlignment="1">
      <alignment vertical="top"/>
    </xf>
    <xf numFmtId="0" fontId="2" fillId="8" borderId="3" xfId="0" applyFont="1" applyFill="1" applyBorder="1" applyAlignment="1" applyProtection="1">
      <alignment vertical="top" wrapText="1"/>
      <protection locked="0"/>
    </xf>
    <xf numFmtId="43" fontId="4" fillId="0" borderId="5" xfId="3" applyFont="1" applyFill="1" applyBorder="1" applyAlignment="1" applyProtection="1">
      <alignment horizontal="center" vertical="center" wrapText="1"/>
      <protection locked="0"/>
    </xf>
    <xf numFmtId="43" fontId="4" fillId="0" borderId="5" xfId="3" applyFont="1" applyFill="1" applyBorder="1" applyAlignment="1" applyProtection="1">
      <alignment horizontal="center" vertical="center" wrapText="1"/>
    </xf>
    <xf numFmtId="15" fontId="2" fillId="8" borderId="2" xfId="0" applyNumberFormat="1" applyFont="1" applyFill="1" applyBorder="1" applyAlignment="1" applyProtection="1">
      <alignment vertical="top"/>
      <protection locked="0"/>
    </xf>
    <xf numFmtId="15" fontId="2" fillId="8" borderId="2" xfId="0" applyNumberFormat="1" applyFont="1" applyFill="1" applyBorder="1" applyAlignment="1" applyProtection="1">
      <alignment horizontal="center" vertical="center"/>
      <protection locked="0"/>
    </xf>
    <xf numFmtId="0" fontId="2" fillId="8" borderId="2" xfId="0" applyFont="1" applyFill="1" applyBorder="1" applyAlignment="1" applyProtection="1">
      <alignment horizontal="left" vertical="top" wrapText="1"/>
      <protection locked="0"/>
    </xf>
    <xf numFmtId="43" fontId="2" fillId="8" borderId="2" xfId="1" applyFont="1" applyFill="1" applyBorder="1" applyAlignment="1" applyProtection="1">
      <alignment vertical="top" wrapText="1"/>
      <protection locked="0"/>
    </xf>
    <xf numFmtId="2" fontId="2" fillId="8" borderId="2" xfId="0" applyNumberFormat="1" applyFont="1" applyFill="1" applyBorder="1" applyAlignment="1" applyProtection="1">
      <alignment vertical="top" wrapText="1"/>
      <protection locked="0"/>
    </xf>
    <xf numFmtId="1" fontId="2" fillId="8" borderId="2" xfId="1" applyNumberFormat="1" applyFont="1" applyFill="1" applyBorder="1" applyAlignment="1" applyProtection="1">
      <alignment vertical="top"/>
    </xf>
    <xf numFmtId="43" fontId="2" fillId="8" borderId="2" xfId="0" applyNumberFormat="1" applyFont="1" applyFill="1" applyBorder="1" applyAlignment="1">
      <alignment vertical="top"/>
    </xf>
    <xf numFmtId="164" fontId="2" fillId="8" borderId="2" xfId="0" applyNumberFormat="1" applyFont="1" applyFill="1" applyBorder="1" applyAlignment="1">
      <alignment vertical="top"/>
    </xf>
    <xf numFmtId="0" fontId="2" fillId="8" borderId="2" xfId="0" applyFont="1" applyFill="1" applyBorder="1" applyAlignment="1" applyProtection="1">
      <alignment vertical="top" wrapText="1"/>
      <protection locked="0"/>
    </xf>
    <xf numFmtId="43" fontId="2" fillId="8" borderId="2" xfId="3" applyFont="1" applyFill="1" applyBorder="1" applyAlignment="1" applyProtection="1">
      <alignment vertical="top" wrapText="1"/>
      <protection locked="0"/>
    </xf>
    <xf numFmtId="15" fontId="2" fillId="8" borderId="2" xfId="0" quotePrefix="1" applyNumberFormat="1" applyFont="1" applyFill="1" applyBorder="1" applyAlignment="1" applyProtection="1">
      <alignment vertical="top" wrapText="1"/>
      <protection locked="0"/>
    </xf>
    <xf numFmtId="2" fontId="2" fillId="8" borderId="2" xfId="10" applyNumberFormat="1" applyFont="1" applyFill="1" applyBorder="1" applyAlignment="1" applyProtection="1">
      <alignment vertical="top" wrapText="1"/>
      <protection locked="0"/>
    </xf>
    <xf numFmtId="4" fontId="2" fillId="8" borderId="2" xfId="0" applyNumberFormat="1" applyFont="1" applyFill="1" applyBorder="1" applyAlignment="1" applyProtection="1">
      <alignment horizontal="center" vertical="top" wrapText="1"/>
      <protection locked="0"/>
    </xf>
    <xf numFmtId="43" fontId="2" fillId="8" borderId="2" xfId="1" applyFont="1" applyFill="1" applyBorder="1" applyAlignment="1" applyProtection="1">
      <alignment horizontal="center" vertical="top" wrapText="1"/>
    </xf>
    <xf numFmtId="49" fontId="2" fillId="8" borderId="2" xfId="0" applyNumberFormat="1" applyFont="1" applyFill="1" applyBorder="1" applyAlignment="1" applyProtection="1">
      <alignment horizontal="center" vertical="top" wrapText="1"/>
      <protection locked="0"/>
    </xf>
    <xf numFmtId="43" fontId="2" fillId="8" borderId="2" xfId="2" applyFont="1" applyFill="1" applyBorder="1" applyAlignment="1" applyProtection="1">
      <alignment horizontal="center" vertical="top" wrapText="1"/>
    </xf>
    <xf numFmtId="0" fontId="2" fillId="8" borderId="2" xfId="10" applyFont="1" applyFill="1" applyBorder="1" applyAlignment="1" applyProtection="1">
      <alignment vertical="top" wrapText="1"/>
      <protection locked="0"/>
    </xf>
    <xf numFmtId="0" fontId="22" fillId="8" borderId="2" xfId="0" applyFont="1" applyFill="1" applyBorder="1" applyAlignment="1" applyProtection="1">
      <alignment horizontal="justify" vertical="top" wrapText="1"/>
      <protection locked="0"/>
    </xf>
    <xf numFmtId="0" fontId="2" fillId="8" borderId="2" xfId="10" applyFont="1" applyFill="1" applyBorder="1" applyAlignment="1" applyProtection="1">
      <alignment horizontal="center" vertical="top" wrapText="1"/>
      <protection locked="0"/>
    </xf>
    <xf numFmtId="43" fontId="2" fillId="8" borderId="2" xfId="5" applyFont="1" applyFill="1" applyBorder="1" applyAlignment="1" applyProtection="1">
      <alignment horizontal="center" vertical="top" wrapText="1"/>
    </xf>
    <xf numFmtId="1" fontId="2" fillId="8" borderId="2" xfId="5" applyNumberFormat="1" applyFont="1" applyFill="1" applyBorder="1" applyAlignment="1" applyProtection="1">
      <alignment vertical="top"/>
    </xf>
    <xf numFmtId="43" fontId="2" fillId="8" borderId="2" xfId="5" applyFont="1" applyFill="1" applyBorder="1" applyAlignment="1" applyProtection="1">
      <alignment vertical="top" wrapText="1"/>
      <protection locked="0"/>
    </xf>
    <xf numFmtId="1" fontId="2" fillId="8" borderId="2" xfId="0" applyNumberFormat="1" applyFont="1" applyFill="1" applyBorder="1"/>
    <xf numFmtId="43" fontId="2" fillId="8" borderId="2" xfId="3" applyFont="1" applyFill="1" applyBorder="1" applyAlignment="1" applyProtection="1">
      <alignment horizontal="center" vertical="top" wrapText="1"/>
    </xf>
    <xf numFmtId="15" fontId="2" fillId="8" borderId="2" xfId="10" applyNumberFormat="1" applyFont="1" applyFill="1" applyBorder="1" applyAlignment="1" applyProtection="1">
      <alignment horizontal="center" vertical="top"/>
      <protection locked="0"/>
    </xf>
    <xf numFmtId="43" fontId="2" fillId="8" borderId="2" xfId="3" applyFont="1" applyFill="1" applyBorder="1" applyAlignment="1" applyProtection="1">
      <alignment vertical="top"/>
    </xf>
    <xf numFmtId="43" fontId="2" fillId="8" borderId="2" xfId="10" applyNumberFormat="1" applyFont="1" applyFill="1" applyBorder="1" applyAlignment="1" applyProtection="1">
      <alignment horizontal="center" vertical="top" wrapText="1"/>
      <protection locked="0"/>
    </xf>
    <xf numFmtId="166" fontId="2" fillId="8" borderId="2" xfId="0" applyNumberFormat="1" applyFont="1" applyFill="1" applyBorder="1" applyAlignment="1" applyProtection="1">
      <alignment horizontal="center" vertical="top"/>
      <protection locked="0"/>
    </xf>
    <xf numFmtId="1" fontId="2" fillId="8" borderId="2" xfId="0" applyNumberFormat="1" applyFont="1" applyFill="1" applyBorder="1" applyAlignment="1" applyProtection="1">
      <alignment horizontal="center" vertical="top" wrapText="1"/>
      <protection locked="0"/>
    </xf>
    <xf numFmtId="14" fontId="2" fillId="8" borderId="2" xfId="0" applyNumberFormat="1" applyFont="1" applyFill="1" applyBorder="1" applyAlignment="1" applyProtection="1">
      <alignment horizontal="center" vertical="top" wrapText="1"/>
      <protection locked="0"/>
    </xf>
    <xf numFmtId="43" fontId="2" fillId="8" borderId="2" xfId="1" applyFont="1" applyFill="1" applyBorder="1" applyAlignment="1" applyProtection="1">
      <alignment horizontal="center" vertical="top"/>
    </xf>
    <xf numFmtId="1" fontId="2" fillId="8" borderId="2" xfId="3" applyNumberFormat="1" applyFont="1" applyFill="1" applyBorder="1" applyAlignment="1" applyProtection="1">
      <alignment horizontal="center" vertical="top"/>
    </xf>
    <xf numFmtId="41" fontId="2" fillId="8" borderId="2" xfId="3" applyNumberFormat="1" applyFont="1" applyFill="1" applyBorder="1" applyAlignment="1" applyProtection="1">
      <alignment horizontal="center" vertical="top"/>
    </xf>
    <xf numFmtId="15" fontId="4" fillId="0" borderId="4" xfId="9" applyNumberFormat="1" applyBorder="1" applyAlignment="1" applyProtection="1">
      <alignment horizontal="center" vertical="center"/>
      <protection locked="0"/>
    </xf>
    <xf numFmtId="43" fontId="4" fillId="0" borderId="4" xfId="3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43" fontId="4" fillId="0" borderId="4" xfId="9" applyNumberFormat="1" applyBorder="1" applyAlignment="1" applyProtection="1">
      <alignment horizontal="center" vertical="center" wrapText="1"/>
      <protection locked="0"/>
    </xf>
    <xf numFmtId="164" fontId="14" fillId="0" borderId="4" xfId="0" applyNumberFormat="1" applyFont="1" applyBorder="1" applyAlignment="1">
      <alignment horizontal="center" vertical="center"/>
    </xf>
    <xf numFmtId="43" fontId="14" fillId="0" borderId="4" xfId="3" applyFont="1" applyFill="1" applyBorder="1" applyAlignment="1" applyProtection="1">
      <alignment horizontal="center" vertical="center"/>
    </xf>
    <xf numFmtId="43" fontId="4" fillId="0" borderId="19" xfId="3" applyFont="1" applyFill="1" applyBorder="1" applyAlignment="1" applyProtection="1">
      <alignment horizontal="center" vertical="center" wrapText="1"/>
      <protection locked="0"/>
    </xf>
    <xf numFmtId="0" fontId="52" fillId="0" borderId="0" xfId="9" applyFont="1" applyAlignment="1" applyProtection="1">
      <alignment horizontal="center"/>
      <protection locked="0"/>
    </xf>
    <xf numFmtId="43" fontId="54" fillId="0" borderId="46" xfId="3" applyFont="1" applyFill="1" applyBorder="1" applyAlignment="1" applyProtection="1"/>
    <xf numFmtId="0" fontId="55" fillId="0" borderId="0" xfId="9" applyFont="1" applyProtection="1">
      <protection locked="0"/>
    </xf>
    <xf numFmtId="0" fontId="56" fillId="0" borderId="0" xfId="9" applyFont="1" applyProtection="1">
      <protection locked="0"/>
    </xf>
    <xf numFmtId="164" fontId="56" fillId="0" borderId="0" xfId="9" applyNumberFormat="1" applyFont="1"/>
    <xf numFmtId="43" fontId="54" fillId="0" borderId="46" xfId="3" applyFont="1" applyFill="1" applyBorder="1" applyAlignment="1" applyProtection="1">
      <protection locked="0"/>
    </xf>
    <xf numFmtId="43" fontId="54" fillId="0" borderId="0" xfId="3" applyFont="1" applyFill="1" applyBorder="1" applyAlignment="1" applyProtection="1">
      <protection locked="0"/>
    </xf>
    <xf numFmtId="0" fontId="52" fillId="0" borderId="20" xfId="9" applyFont="1" applyBorder="1" applyAlignment="1" applyProtection="1">
      <alignment wrapText="1"/>
      <protection locked="0"/>
    </xf>
    <xf numFmtId="0" fontId="1" fillId="0" borderId="2" xfId="9" applyFont="1" applyBorder="1" applyAlignment="1" applyProtection="1">
      <alignment horizontal="center" vertical="center"/>
      <protection locked="0"/>
    </xf>
    <xf numFmtId="43" fontId="4" fillId="0" borderId="4" xfId="3" applyFont="1" applyFill="1" applyBorder="1" applyAlignment="1" applyProtection="1">
      <alignment horizontal="center" vertical="center" wrapText="1"/>
    </xf>
    <xf numFmtId="43" fontId="53" fillId="3" borderId="2" xfId="0" applyNumberFormat="1" applyFont="1" applyFill="1" applyBorder="1" applyAlignment="1">
      <alignment horizontal="center" vertical="top"/>
    </xf>
    <xf numFmtId="0" fontId="0" fillId="0" borderId="0" xfId="0" applyAlignment="1">
      <alignment wrapText="1"/>
    </xf>
    <xf numFmtId="43" fontId="4" fillId="0" borderId="50" xfId="3" applyFont="1" applyFill="1" applyBorder="1" applyAlignment="1" applyProtection="1">
      <alignment horizontal="center" vertical="center" wrapText="1"/>
    </xf>
    <xf numFmtId="0" fontId="75" fillId="0" borderId="0" xfId="0" applyFont="1" applyAlignment="1">
      <alignment horizontal="left"/>
    </xf>
    <xf numFmtId="0" fontId="76" fillId="0" borderId="0" xfId="0" applyFont="1"/>
    <xf numFmtId="15" fontId="77" fillId="9" borderId="2" xfId="0" applyNumberFormat="1" applyFont="1" applyFill="1" applyBorder="1" applyAlignment="1">
      <alignment horizontal="center" vertical="center" wrapText="1"/>
    </xf>
    <xf numFmtId="0" fontId="78" fillId="10" borderId="2" xfId="0" applyFont="1" applyFill="1" applyBorder="1" applyAlignment="1">
      <alignment horizontal="center" vertical="center" wrapText="1"/>
    </xf>
    <xf numFmtId="43" fontId="77" fillId="9" borderId="2" xfId="0" applyNumberFormat="1" applyFont="1" applyFill="1" applyBorder="1" applyAlignment="1">
      <alignment horizontal="center" vertical="center" wrapText="1"/>
    </xf>
    <xf numFmtId="15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3" fontId="0" fillId="0" borderId="2" xfId="0" applyNumberFormat="1" applyBorder="1" applyAlignment="1">
      <alignment horizontal="center" vertical="center"/>
    </xf>
    <xf numFmtId="43" fontId="65" fillId="0" borderId="2" xfId="1" applyFont="1" applyFill="1" applyBorder="1" applyAlignment="1" applyProtection="1">
      <alignment horizontal="center" vertical="center"/>
    </xf>
    <xf numFmtId="43" fontId="65" fillId="8" borderId="2" xfId="3" applyFont="1" applyFill="1" applyBorder="1" applyAlignment="1" applyProtection="1">
      <alignment horizontal="center" vertical="center"/>
    </xf>
    <xf numFmtId="164" fontId="65" fillId="0" borderId="2" xfId="0" applyNumberFormat="1" applyFont="1" applyBorder="1" applyAlignment="1">
      <alignment horizontal="center" vertical="center"/>
    </xf>
    <xf numFmtId="0" fontId="53" fillId="0" borderId="2" xfId="0" applyFont="1" applyBorder="1" applyAlignment="1" applyProtection="1">
      <alignment horizontal="center" vertical="center" wrapText="1"/>
      <protection locked="0"/>
    </xf>
    <xf numFmtId="49" fontId="65" fillId="8" borderId="2" xfId="0" applyNumberFormat="1" applyFont="1" applyFill="1" applyBorder="1" applyAlignment="1">
      <alignment horizontal="left" wrapText="1"/>
    </xf>
    <xf numFmtId="49" fontId="65" fillId="8" borderId="2" xfId="0" applyNumberFormat="1" applyFont="1" applyFill="1" applyBorder="1" applyAlignment="1">
      <alignment horizontal="center" vertical="top" wrapText="1"/>
    </xf>
    <xf numFmtId="4" fontId="79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65" fillId="8" borderId="2" xfId="0" applyNumberFormat="1" applyFont="1" applyFill="1" applyBorder="1" applyAlignment="1">
      <alignment wrapText="1"/>
    </xf>
    <xf numFmtId="43" fontId="0" fillId="0" borderId="2" xfId="0" applyNumberFormat="1" applyBorder="1"/>
    <xf numFmtId="49" fontId="65" fillId="8" borderId="4" xfId="0" applyNumberFormat="1" applyFont="1" applyFill="1" applyBorder="1" applyAlignment="1">
      <alignment horizontal="left" wrapText="1"/>
    </xf>
    <xf numFmtId="49" fontId="65" fillId="8" borderId="4" xfId="0" applyNumberFormat="1" applyFont="1" applyFill="1" applyBorder="1" applyAlignment="1">
      <alignment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3" fontId="65" fillId="8" borderId="4" xfId="3" applyFont="1" applyFill="1" applyBorder="1" applyAlignment="1" applyProtection="1">
      <alignment horizontal="center" vertical="center"/>
    </xf>
    <xf numFmtId="164" fontId="65" fillId="0" borderId="4" xfId="0" applyNumberFormat="1" applyFont="1" applyBorder="1" applyAlignment="1">
      <alignment horizontal="center" vertical="center"/>
    </xf>
    <xf numFmtId="43" fontId="65" fillId="0" borderId="4" xfId="1" applyFont="1" applyFill="1" applyBorder="1" applyAlignment="1" applyProtection="1">
      <alignment horizontal="center" vertical="center"/>
    </xf>
    <xf numFmtId="15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15" fontId="0" fillId="3" borderId="2" xfId="0" applyNumberForma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43" fontId="0" fillId="3" borderId="2" xfId="0" applyNumberFormat="1" applyFill="1" applyBorder="1" applyAlignment="1">
      <alignment horizontal="center" vertical="center"/>
    </xf>
    <xf numFmtId="43" fontId="65" fillId="3" borderId="2" xfId="1" applyFont="1" applyFill="1" applyBorder="1" applyAlignment="1" applyProtection="1">
      <alignment horizontal="center" vertical="center"/>
    </xf>
    <xf numFmtId="43" fontId="65" fillId="3" borderId="2" xfId="3" applyFont="1" applyFill="1" applyBorder="1" applyAlignment="1" applyProtection="1">
      <alignment horizontal="center" vertical="center"/>
    </xf>
    <xf numFmtId="164" fontId="65" fillId="3" borderId="2" xfId="0" applyNumberFormat="1" applyFont="1" applyFill="1" applyBorder="1" applyAlignment="1">
      <alignment horizontal="center" vertical="center"/>
    </xf>
    <xf numFmtId="4" fontId="79" fillId="3" borderId="2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wrapText="1"/>
    </xf>
    <xf numFmtId="0" fontId="0" fillId="0" borderId="4" xfId="0" applyBorder="1"/>
    <xf numFmtId="43" fontId="0" fillId="0" borderId="4" xfId="0" applyNumberFormat="1" applyBorder="1"/>
    <xf numFmtId="0" fontId="0" fillId="0" borderId="2" xfId="0" applyBorder="1" applyAlignment="1">
      <alignment wrapText="1"/>
    </xf>
    <xf numFmtId="43" fontId="81" fillId="0" borderId="0" xfId="0" applyNumberFormat="1" applyFont="1"/>
    <xf numFmtId="43" fontId="82" fillId="0" borderId="0" xfId="1" applyFont="1" applyFill="1" applyBorder="1" applyAlignment="1" applyProtection="1">
      <alignment horizontal="center" vertical="center"/>
    </xf>
    <xf numFmtId="0" fontId="0" fillId="0" borderId="0" xfId="0" applyAlignment="1">
      <alignment vertical="center" wrapText="1"/>
    </xf>
    <xf numFmtId="0" fontId="83" fillId="8" borderId="14" xfId="0" applyFont="1" applyFill="1" applyBorder="1" applyAlignment="1" applyProtection="1">
      <alignment horizontal="center" vertical="top"/>
      <protection locked="0"/>
    </xf>
    <xf numFmtId="4" fontId="81" fillId="0" borderId="2" xfId="0" applyNumberFormat="1" applyFont="1" applyBorder="1"/>
    <xf numFmtId="0" fontId="50" fillId="0" borderId="0" xfId="9" applyFont="1" applyAlignment="1" applyProtection="1">
      <alignment horizontal="left" indent="1"/>
      <protection locked="0"/>
    </xf>
    <xf numFmtId="0" fontId="17" fillId="0" borderId="0" xfId="9" applyFont="1" applyAlignment="1">
      <alignment horizontal="center"/>
    </xf>
    <xf numFmtId="0" fontId="23" fillId="0" borderId="0" xfId="9" applyFont="1" applyAlignment="1">
      <alignment horizontal="center"/>
    </xf>
    <xf numFmtId="0" fontId="34" fillId="0" borderId="0" xfId="0" applyFont="1" applyAlignment="1">
      <alignment horizontal="left" indent="1"/>
    </xf>
    <xf numFmtId="0" fontId="34" fillId="0" borderId="0" xfId="0" applyFont="1" applyAlignment="1">
      <alignment horizontal="left" indent="2"/>
    </xf>
    <xf numFmtId="0" fontId="0" fillId="8" borderId="2" xfId="0" applyFill="1" applyBorder="1" applyAlignment="1" applyProtection="1">
      <alignment horizontal="center" vertical="center" wrapText="1"/>
      <protection locked="0"/>
    </xf>
    <xf numFmtId="15" fontId="16" fillId="8" borderId="2" xfId="9" applyNumberFormat="1" applyFont="1" applyFill="1" applyBorder="1" applyAlignment="1" applyProtection="1">
      <alignment horizontal="center" vertical="center"/>
      <protection locked="0"/>
    </xf>
    <xf numFmtId="0" fontId="34" fillId="0" borderId="0" xfId="9" applyFont="1" applyAlignment="1">
      <alignment horizontal="left" indent="10"/>
    </xf>
    <xf numFmtId="0" fontId="53" fillId="8" borderId="2" xfId="0" applyFont="1" applyFill="1" applyBorder="1" applyAlignment="1">
      <alignment wrapText="1"/>
    </xf>
    <xf numFmtId="0" fontId="84" fillId="0" borderId="0" xfId="0" applyFont="1" applyAlignment="1">
      <alignment horizontal="left"/>
    </xf>
    <xf numFmtId="43" fontId="89" fillId="0" borderId="0" xfId="3" applyFont="1" applyFill="1" applyBorder="1" applyAlignment="1" applyProtection="1">
      <alignment vertical="top" wrapText="1"/>
      <protection locked="0"/>
    </xf>
    <xf numFmtId="0" fontId="86" fillId="0" borderId="0" xfId="0" applyFont="1"/>
    <xf numFmtId="0" fontId="84" fillId="0" borderId="22" xfId="0" applyFont="1" applyBorder="1" applyAlignment="1">
      <alignment horizontal="left"/>
    </xf>
    <xf numFmtId="43" fontId="89" fillId="0" borderId="0" xfId="3" applyFont="1" applyFill="1" applyBorder="1" applyAlignment="1" applyProtection="1">
      <alignment vertical="top"/>
      <protection locked="0"/>
    </xf>
    <xf numFmtId="0" fontId="90" fillId="0" borderId="0" xfId="0" applyFont="1"/>
    <xf numFmtId="0" fontId="91" fillId="0" borderId="0" xfId="0" applyFont="1"/>
    <xf numFmtId="0" fontId="86" fillId="0" borderId="22" xfId="0" applyFont="1" applyBorder="1"/>
    <xf numFmtId="0" fontId="92" fillId="0" borderId="22" xfId="0" applyFont="1" applyBorder="1" applyAlignment="1">
      <alignment horizontal="left" indent="2"/>
    </xf>
    <xf numFmtId="0" fontId="91" fillId="0" borderId="0" xfId="0" applyFont="1" applyAlignment="1">
      <alignment horizontal="left" indent="8"/>
    </xf>
    <xf numFmtId="0" fontId="91" fillId="0" borderId="0" xfId="0" applyFont="1" applyAlignment="1">
      <alignment horizontal="left" indent="7"/>
    </xf>
    <xf numFmtId="0" fontId="93" fillId="7" borderId="37" xfId="0" applyFont="1" applyFill="1" applyBorder="1" applyAlignment="1" applyProtection="1">
      <alignment horizontal="center" vertical="top"/>
      <protection locked="0"/>
    </xf>
    <xf numFmtId="0" fontId="94" fillId="7" borderId="38" xfId="0" applyFont="1" applyFill="1" applyBorder="1" applyAlignment="1" applyProtection="1">
      <alignment horizontal="center" vertical="top" wrapText="1"/>
      <protection locked="0"/>
    </xf>
    <xf numFmtId="0" fontId="32" fillId="6" borderId="10" xfId="0" applyFont="1" applyFill="1" applyBorder="1" applyAlignment="1" applyProtection="1">
      <alignment horizontal="center" vertical="top"/>
      <protection locked="0"/>
    </xf>
    <xf numFmtId="43" fontId="32" fillId="6" borderId="39" xfId="0" applyNumberFormat="1" applyFont="1" applyFill="1" applyBorder="1" applyAlignment="1">
      <alignment horizontal="left" vertical="center"/>
    </xf>
    <xf numFmtId="43" fontId="32" fillId="6" borderId="40" xfId="0" applyNumberFormat="1" applyFont="1" applyFill="1" applyBorder="1"/>
    <xf numFmtId="0" fontId="32" fillId="6" borderId="41" xfId="0" applyFont="1" applyFill="1" applyBorder="1" applyAlignment="1" applyProtection="1">
      <alignment horizontal="center" vertical="top"/>
      <protection locked="0"/>
    </xf>
    <xf numFmtId="43" fontId="32" fillId="6" borderId="42" xfId="0" applyNumberFormat="1" applyFont="1" applyFill="1" applyBorder="1" applyAlignment="1">
      <alignment horizontal="left" vertical="center" indent="5"/>
    </xf>
    <xf numFmtId="43" fontId="32" fillId="6" borderId="12" xfId="0" applyNumberFormat="1" applyFont="1" applyFill="1" applyBorder="1"/>
    <xf numFmtId="0" fontId="32" fillId="6" borderId="22" xfId="0" applyFont="1" applyFill="1" applyBorder="1" applyAlignment="1" applyProtection="1">
      <alignment horizontal="center" vertical="top"/>
      <protection locked="0"/>
    </xf>
    <xf numFmtId="43" fontId="32" fillId="6" borderId="43" xfId="0" applyNumberFormat="1" applyFont="1" applyFill="1" applyBorder="1" applyAlignment="1">
      <alignment horizontal="left" vertical="center" indent="5"/>
    </xf>
    <xf numFmtId="0" fontId="32" fillId="6" borderId="11" xfId="0" applyFont="1" applyFill="1" applyBorder="1" applyAlignment="1" applyProtection="1">
      <alignment horizontal="center" vertical="top"/>
      <protection locked="0"/>
    </xf>
    <xf numFmtId="43" fontId="32" fillId="6" borderId="44" xfId="0" applyNumberFormat="1" applyFont="1" applyFill="1" applyBorder="1" applyAlignment="1">
      <alignment horizontal="left" vertical="center" indent="5"/>
    </xf>
    <xf numFmtId="43" fontId="32" fillId="6" borderId="14" xfId="0" applyNumberFormat="1" applyFont="1" applyFill="1" applyBorder="1" applyAlignment="1">
      <alignment horizontal="left" vertical="center" indent="5"/>
    </xf>
    <xf numFmtId="43" fontId="32" fillId="6" borderId="11" xfId="0" applyNumberFormat="1" applyFont="1" applyFill="1" applyBorder="1"/>
    <xf numFmtId="43" fontId="32" fillId="6" borderId="13" xfId="0" applyNumberFormat="1" applyFont="1" applyFill="1" applyBorder="1" applyAlignment="1">
      <alignment horizontal="left" vertical="center" indent="5"/>
    </xf>
    <xf numFmtId="43" fontId="32" fillId="6" borderId="11" xfId="0" applyNumberFormat="1" applyFont="1" applyFill="1" applyBorder="1" applyAlignment="1">
      <alignment horizontal="left" vertical="center" indent="5"/>
    </xf>
    <xf numFmtId="43" fontId="32" fillId="6" borderId="13" xfId="0" applyNumberFormat="1" applyFont="1" applyFill="1" applyBorder="1"/>
    <xf numFmtId="0" fontId="32" fillId="6" borderId="13" xfId="0" applyFont="1" applyFill="1" applyBorder="1" applyAlignment="1" applyProtection="1">
      <alignment horizontal="center" vertical="top"/>
      <protection locked="0"/>
    </xf>
    <xf numFmtId="0" fontId="32" fillId="6" borderId="11" xfId="0" applyFont="1" applyFill="1" applyBorder="1" applyAlignment="1">
      <alignment horizontal="left" vertical="center" indent="13"/>
    </xf>
    <xf numFmtId="0" fontId="32" fillId="6" borderId="11" xfId="0" applyFont="1" applyFill="1" applyBorder="1" applyAlignment="1">
      <alignment horizontal="left" indent="13"/>
    </xf>
    <xf numFmtId="43" fontId="32" fillId="6" borderId="12" xfId="0" applyNumberFormat="1" applyFont="1" applyFill="1" applyBorder="1" applyAlignment="1">
      <alignment horizontal="left" vertical="center" indent="5"/>
    </xf>
    <xf numFmtId="0" fontId="32" fillId="6" borderId="39" xfId="0" applyFont="1" applyFill="1" applyBorder="1" applyAlignment="1" applyProtection="1">
      <alignment horizontal="center" vertical="top"/>
      <protection locked="0"/>
    </xf>
    <xf numFmtId="0" fontId="32" fillId="6" borderId="14" xfId="0" applyFont="1" applyFill="1" applyBorder="1" applyAlignment="1" applyProtection="1">
      <alignment horizontal="center" vertical="top"/>
      <protection locked="0"/>
    </xf>
    <xf numFmtId="43" fontId="32" fillId="6" borderId="2" xfId="0" applyNumberFormat="1" applyFont="1" applyFill="1" applyBorder="1" applyAlignment="1">
      <alignment horizontal="left" vertical="center" indent="5"/>
    </xf>
    <xf numFmtId="0" fontId="32" fillId="7" borderId="25" xfId="9" applyFont="1" applyFill="1" applyBorder="1" applyAlignment="1" applyProtection="1">
      <alignment horizontal="center"/>
      <protection locked="0"/>
    </xf>
    <xf numFmtId="43" fontId="32" fillId="9" borderId="26" xfId="0" applyNumberFormat="1" applyFont="1" applyFill="1" applyBorder="1"/>
    <xf numFmtId="43" fontId="32" fillId="9" borderId="27" xfId="0" applyNumberFormat="1" applyFont="1" applyFill="1" applyBorder="1"/>
    <xf numFmtId="43" fontId="1" fillId="0" borderId="0" xfId="7" applyFont="1" applyFill="1" applyBorder="1" applyAlignment="1" applyProtection="1">
      <alignment horizontal="left" vertical="top" wrapText="1" indent="1"/>
      <protection locked="0"/>
    </xf>
    <xf numFmtId="0" fontId="1" fillId="0" borderId="0" xfId="9" applyFont="1" applyAlignment="1" applyProtection="1">
      <alignment horizontal="left" indent="5"/>
      <protection locked="0"/>
    </xf>
    <xf numFmtId="0" fontId="1" fillId="0" borderId="0" xfId="9" applyFont="1" applyAlignment="1" applyProtection="1">
      <alignment horizontal="left" indent="8"/>
      <protection locked="0"/>
    </xf>
    <xf numFmtId="0" fontId="1" fillId="0" borderId="0" xfId="0" applyFont="1" applyAlignment="1" applyProtection="1">
      <alignment horizontal="left" indent="4"/>
      <protection locked="0"/>
    </xf>
    <xf numFmtId="0" fontId="1" fillId="0" borderId="0" xfId="9" applyFont="1" applyAlignment="1" applyProtection="1">
      <alignment horizontal="left" indent="14"/>
      <protection locked="0"/>
    </xf>
    <xf numFmtId="0" fontId="1" fillId="0" borderId="0" xfId="0" applyFont="1" applyAlignment="1" applyProtection="1">
      <alignment horizontal="left"/>
      <protection locked="0"/>
    </xf>
    <xf numFmtId="0" fontId="24" fillId="0" borderId="0" xfId="9" applyFont="1"/>
    <xf numFmtId="0" fontId="24" fillId="0" borderId="20" xfId="9" applyFont="1" applyBorder="1"/>
    <xf numFmtId="43" fontId="95" fillId="0" borderId="0" xfId="3" applyFont="1" applyFill="1" applyBorder="1" applyAlignment="1" applyProtection="1">
      <alignment horizontal="left" indent="1"/>
      <protection locked="0"/>
    </xf>
    <xf numFmtId="0" fontId="17" fillId="0" borderId="0" xfId="9" applyFont="1"/>
    <xf numFmtId="15" fontId="1" fillId="0" borderId="1" xfId="9" applyNumberFormat="1" applyFont="1" applyBorder="1" applyAlignment="1" applyProtection="1">
      <alignment horizontal="left" vertical="top" indent="4"/>
      <protection locked="0"/>
    </xf>
    <xf numFmtId="0" fontId="1" fillId="0" borderId="1" xfId="9" applyFont="1" applyBorder="1" applyAlignment="1" applyProtection="1">
      <alignment horizontal="left" vertical="top"/>
      <protection locked="0"/>
    </xf>
    <xf numFmtId="0" fontId="17" fillId="0" borderId="6" xfId="0" applyFont="1" applyBorder="1" applyAlignment="1">
      <alignment horizontal="left" indent="5"/>
    </xf>
    <xf numFmtId="0" fontId="17" fillId="0" borderId="0" xfId="0" applyFont="1" applyAlignment="1">
      <alignment horizontal="left" indent="5"/>
    </xf>
    <xf numFmtId="0" fontId="20" fillId="0" borderId="0" xfId="0" applyFont="1" applyAlignment="1" applyProtection="1">
      <alignment horizontal="center"/>
      <protection locked="0"/>
    </xf>
    <xf numFmtId="0" fontId="1" fillId="0" borderId="1" xfId="9" applyFont="1" applyBorder="1" applyAlignment="1" applyProtection="1">
      <alignment horizontal="left" indent="8"/>
      <protection locked="0"/>
    </xf>
    <xf numFmtId="0" fontId="1" fillId="0" borderId="1" xfId="0" applyFont="1" applyBorder="1" applyProtection="1">
      <protection locked="0"/>
    </xf>
    <xf numFmtId="43" fontId="18" fillId="0" borderId="0" xfId="3" applyFont="1" applyFill="1" applyBorder="1" applyAlignment="1" applyProtection="1">
      <alignment horizontal="left" indent="2"/>
      <protection locked="0"/>
    </xf>
    <xf numFmtId="0" fontId="23" fillId="0" borderId="0" xfId="9" applyFont="1" applyAlignment="1">
      <alignment horizontal="left" indent="4"/>
    </xf>
    <xf numFmtId="0" fontId="17" fillId="0" borderId="0" xfId="0" applyFont="1" applyAlignment="1">
      <alignment horizontal="left" indent="3"/>
    </xf>
    <xf numFmtId="0" fontId="22" fillId="0" borderId="0" xfId="9" applyFont="1" applyAlignment="1" applyProtection="1">
      <alignment horizontal="left" indent="13"/>
      <protection locked="0"/>
    </xf>
    <xf numFmtId="0" fontId="23" fillId="0" borderId="0" xfId="9" applyFont="1" applyAlignment="1">
      <alignment horizontal="left" indent="8"/>
    </xf>
    <xf numFmtId="0" fontId="17" fillId="0" borderId="0" xfId="9" applyFont="1" applyAlignment="1">
      <alignment horizontal="left" indent="9"/>
    </xf>
    <xf numFmtId="0" fontId="22" fillId="0" borderId="0" xfId="9" applyFont="1" applyAlignment="1" applyProtection="1">
      <alignment horizontal="left" indent="4"/>
      <protection locked="0"/>
    </xf>
    <xf numFmtId="15" fontId="1" fillId="0" borderId="0" xfId="0" quotePrefix="1" applyNumberFormat="1" applyFont="1" applyAlignment="1" applyProtection="1">
      <alignment horizontal="left" vertical="top" indent="2"/>
      <protection locked="0"/>
    </xf>
    <xf numFmtId="0" fontId="34" fillId="0" borderId="0" xfId="9" applyFont="1" applyAlignment="1">
      <alignment horizontal="center"/>
    </xf>
    <xf numFmtId="0" fontId="17" fillId="0" borderId="0" xfId="9" applyFont="1" applyAlignment="1">
      <alignment horizontal="center"/>
    </xf>
    <xf numFmtId="0" fontId="17" fillId="0" borderId="0" xfId="0" applyFont="1" applyAlignment="1">
      <alignment horizontal="left" indent="4"/>
    </xf>
    <xf numFmtId="0" fontId="61" fillId="0" borderId="0" xfId="0" applyFont="1" applyAlignment="1" applyProtection="1">
      <alignment horizontal="right"/>
      <protection locked="0"/>
    </xf>
    <xf numFmtId="0" fontId="32" fillId="7" borderId="45" xfId="0" applyFont="1" applyFill="1" applyBorder="1" applyAlignment="1" applyProtection="1">
      <alignment horizontal="left" vertical="top" indent="22"/>
      <protection locked="0"/>
    </xf>
    <xf numFmtId="0" fontId="32" fillId="7" borderId="48" xfId="0" applyFont="1" applyFill="1" applyBorder="1" applyAlignment="1" applyProtection="1">
      <alignment horizontal="left" vertical="top" indent="22"/>
      <protection locked="0"/>
    </xf>
    <xf numFmtId="0" fontId="16" fillId="0" borderId="0" xfId="0" applyFont="1" applyAlignment="1">
      <alignment horizontal="left" indent="10"/>
    </xf>
    <xf numFmtId="0" fontId="22" fillId="0" borderId="0" xfId="9" applyFont="1" applyAlignment="1" applyProtection="1">
      <alignment horizontal="left" indent="19"/>
      <protection locked="0"/>
    </xf>
    <xf numFmtId="0" fontId="17" fillId="0" borderId="0" xfId="0" applyFont="1" applyAlignment="1">
      <alignment horizontal="left" indent="1"/>
    </xf>
    <xf numFmtId="0" fontId="54" fillId="0" borderId="0" xfId="0" applyFont="1" applyAlignment="1" applyProtection="1">
      <alignment horizontal="right"/>
      <protection locked="0"/>
    </xf>
    <xf numFmtId="0" fontId="66" fillId="9" borderId="14" xfId="9" applyFont="1" applyFill="1" applyBorder="1" applyAlignment="1" applyProtection="1">
      <alignment horizontal="center" vertical="top"/>
      <protection locked="0"/>
    </xf>
    <xf numFmtId="0" fontId="66" fillId="9" borderId="49" xfId="9" applyFont="1" applyFill="1" applyBorder="1" applyAlignment="1" applyProtection="1">
      <alignment horizontal="center" vertical="top"/>
      <protection locked="0"/>
    </xf>
    <xf numFmtId="0" fontId="66" fillId="9" borderId="37" xfId="9" applyFont="1" applyFill="1" applyBorder="1" applyAlignment="1" applyProtection="1">
      <alignment horizontal="center" vertical="top"/>
      <protection locked="0"/>
    </xf>
    <xf numFmtId="0" fontId="22" fillId="0" borderId="0" xfId="9" applyFont="1" applyAlignment="1" applyProtection="1">
      <alignment horizontal="center"/>
      <protection locked="0"/>
    </xf>
    <xf numFmtId="0" fontId="61" fillId="0" borderId="0" xfId="9" applyFont="1" applyAlignment="1">
      <alignment horizontal="center"/>
    </xf>
    <xf numFmtId="0" fontId="23" fillId="0" borderId="0" xfId="9" applyFont="1" applyAlignment="1">
      <alignment horizontal="center"/>
    </xf>
    <xf numFmtId="0" fontId="66" fillId="7" borderId="34" xfId="9" applyFont="1" applyFill="1" applyBorder="1" applyAlignment="1" applyProtection="1">
      <alignment horizontal="center" vertical="top"/>
      <protection locked="0"/>
    </xf>
    <xf numFmtId="0" fontId="66" fillId="7" borderId="16" xfId="9" applyFont="1" applyFill="1" applyBorder="1" applyAlignment="1" applyProtection="1">
      <alignment horizontal="center" vertical="top"/>
      <protection locked="0"/>
    </xf>
    <xf numFmtId="0" fontId="66" fillId="7" borderId="33" xfId="9" applyFont="1" applyFill="1" applyBorder="1" applyAlignment="1" applyProtection="1">
      <alignment horizontal="center" vertical="top"/>
      <protection locked="0"/>
    </xf>
    <xf numFmtId="0" fontId="22" fillId="0" borderId="0" xfId="9" applyFont="1" applyAlignment="1" applyProtection="1">
      <alignment horizontal="left" indent="14"/>
      <protection locked="0"/>
    </xf>
    <xf numFmtId="0" fontId="22" fillId="0" borderId="20" xfId="9" applyFont="1" applyBorder="1" applyAlignment="1" applyProtection="1">
      <alignment horizontal="center"/>
      <protection locked="0"/>
    </xf>
    <xf numFmtId="0" fontId="17" fillId="0" borderId="0" xfId="0" applyFont="1" applyAlignment="1" applyProtection="1">
      <alignment wrapText="1"/>
      <protection locked="0"/>
    </xf>
    <xf numFmtId="0" fontId="66" fillId="7" borderId="15" xfId="0" applyFont="1" applyFill="1" applyBorder="1" applyAlignment="1" applyProtection="1">
      <alignment horizontal="center" vertical="top"/>
      <protection locked="0"/>
    </xf>
    <xf numFmtId="0" fontId="66" fillId="7" borderId="28" xfId="0" applyFont="1" applyFill="1" applyBorder="1" applyAlignment="1" applyProtection="1">
      <alignment horizontal="center" vertical="top"/>
      <protection locked="0"/>
    </xf>
    <xf numFmtId="0" fontId="66" fillId="7" borderId="29" xfId="0" applyFont="1" applyFill="1" applyBorder="1" applyAlignment="1" applyProtection="1">
      <alignment horizontal="center" vertical="top"/>
      <protection locked="0"/>
    </xf>
    <xf numFmtId="0" fontId="23" fillId="0" borderId="20" xfId="9" applyFont="1" applyBorder="1" applyAlignment="1">
      <alignment horizontal="center"/>
    </xf>
    <xf numFmtId="0" fontId="17" fillId="0" borderId="0" xfId="9" applyFont="1" applyAlignment="1">
      <alignment horizontal="left" vertical="center" indent="4"/>
    </xf>
    <xf numFmtId="0" fontId="17" fillId="0" borderId="20" xfId="9" applyFont="1" applyBorder="1" applyAlignment="1">
      <alignment horizontal="left" vertical="center" indent="4"/>
    </xf>
    <xf numFmtId="0" fontId="23" fillId="0" borderId="5" xfId="9" applyFont="1" applyBorder="1" applyAlignment="1">
      <alignment horizontal="center"/>
    </xf>
    <xf numFmtId="0" fontId="17" fillId="0" borderId="0" xfId="0" applyFont="1" applyAlignment="1">
      <alignment horizontal="left" indent="2"/>
    </xf>
    <xf numFmtId="0" fontId="24" fillId="0" borderId="0" xfId="9" applyFont="1" applyAlignment="1">
      <alignment horizontal="center"/>
    </xf>
    <xf numFmtId="0" fontId="66" fillId="3" borderId="14" xfId="9" applyFont="1" applyFill="1" applyBorder="1" applyAlignment="1" applyProtection="1">
      <alignment horizontal="center" vertical="top"/>
      <protection locked="0"/>
    </xf>
    <xf numFmtId="0" fontId="66" fillId="3" borderId="49" xfId="9" applyFont="1" applyFill="1" applyBorder="1" applyAlignment="1" applyProtection="1">
      <alignment horizontal="center" vertical="top"/>
      <protection locked="0"/>
    </xf>
    <xf numFmtId="0" fontId="66" fillId="3" borderId="37" xfId="9" applyFont="1" applyFill="1" applyBorder="1" applyAlignment="1" applyProtection="1">
      <alignment horizontal="center" vertical="top"/>
      <protection locked="0"/>
    </xf>
    <xf numFmtId="0" fontId="80" fillId="0" borderId="0" xfId="0" applyFont="1" applyAlignment="1" applyProtection="1">
      <alignment horizontal="right"/>
      <protection locked="0"/>
    </xf>
    <xf numFmtId="0" fontId="19" fillId="7" borderId="45" xfId="0" applyFont="1" applyFill="1" applyBorder="1" applyAlignment="1" applyProtection="1">
      <alignment horizontal="left" vertical="top" indent="16"/>
      <protection locked="0"/>
    </xf>
    <xf numFmtId="0" fontId="19" fillId="7" borderId="48" xfId="0" applyFont="1" applyFill="1" applyBorder="1" applyAlignment="1" applyProtection="1">
      <alignment horizontal="left" vertical="top" indent="16"/>
      <protection locked="0"/>
    </xf>
    <xf numFmtId="0" fontId="24" fillId="0" borderId="0" xfId="0" applyFont="1" applyAlignment="1">
      <alignment horizontal="center"/>
    </xf>
    <xf numFmtId="0" fontId="17" fillId="0" borderId="0" xfId="9" applyFont="1" applyAlignment="1">
      <alignment horizontal="left" vertical="center" indent="3"/>
    </xf>
    <xf numFmtId="0" fontId="34" fillId="0" borderId="0" xfId="9" applyFont="1" applyAlignment="1">
      <alignment horizontal="left" vertical="center" indent="4"/>
    </xf>
    <xf numFmtId="0" fontId="17" fillId="0" borderId="0" xfId="9" applyFont="1" applyAlignment="1">
      <alignment horizontal="left" indent="2"/>
    </xf>
    <xf numFmtId="0" fontId="23" fillId="0" borderId="5" xfId="9" applyFont="1" applyBorder="1" applyAlignment="1">
      <alignment horizontal="left" vertical="top"/>
    </xf>
    <xf numFmtId="0" fontId="23" fillId="0" borderId="23" xfId="9" applyFont="1" applyBorder="1" applyAlignment="1">
      <alignment horizontal="left" vertical="top"/>
    </xf>
    <xf numFmtId="0" fontId="1" fillId="0" borderId="0" xfId="9" applyFont="1" applyBorder="1" applyAlignment="1" applyProtection="1">
      <alignment horizontal="left" indent="1"/>
      <protection locked="0"/>
    </xf>
    <xf numFmtId="0" fontId="1" fillId="0" borderId="6" xfId="9" applyFont="1" applyBorder="1" applyProtection="1">
      <protection locked="0"/>
    </xf>
    <xf numFmtId="0" fontId="3" fillId="0" borderId="6" xfId="9" applyFont="1" applyBorder="1" applyProtection="1">
      <protection locked="0"/>
    </xf>
    <xf numFmtId="0" fontId="23" fillId="0" borderId="0" xfId="9" applyFont="1" applyBorder="1" applyAlignment="1">
      <alignment horizontal="left" vertical="top" indent="3"/>
    </xf>
    <xf numFmtId="0" fontId="24" fillId="0" borderId="0" xfId="0" applyFont="1" applyAlignment="1">
      <alignment horizontal="left" indent="7"/>
    </xf>
    <xf numFmtId="0" fontId="0" fillId="0" borderId="0" xfId="0" applyAlignment="1">
      <alignment horizontal="left" indent="5"/>
    </xf>
    <xf numFmtId="0" fontId="34" fillId="0" borderId="0" xfId="9" applyFont="1" applyAlignment="1">
      <alignment horizontal="left" vertical="top" indent="9"/>
    </xf>
    <xf numFmtId="0" fontId="17" fillId="0" borderId="0" xfId="0" applyFont="1" applyAlignment="1">
      <alignment horizontal="left" indent="13"/>
    </xf>
    <xf numFmtId="0" fontId="34" fillId="0" borderId="0" xfId="9" applyFont="1" applyAlignment="1">
      <alignment horizontal="left" indent="13"/>
    </xf>
  </cellXfs>
  <cellStyles count="12">
    <cellStyle name="Incorrecto" xfId="11" builtinId="27"/>
    <cellStyle name="Millares" xfId="1" builtinId="3"/>
    <cellStyle name="Millares 2" xfId="2" xr:uid="{00000000-0005-0000-0000-000001000000}"/>
    <cellStyle name="Millares 2 2" xfId="3" xr:uid="{00000000-0005-0000-0000-000002000000}"/>
    <cellStyle name="Millares 3" xfId="4" xr:uid="{00000000-0005-0000-0000-000003000000}"/>
    <cellStyle name="Millares 4" xfId="5" xr:uid="{00000000-0005-0000-0000-000004000000}"/>
    <cellStyle name="Millares 5" xfId="6" xr:uid="{00000000-0005-0000-0000-000005000000}"/>
    <cellStyle name="Millares 5 2" xfId="7" xr:uid="{00000000-0005-0000-0000-000006000000}"/>
    <cellStyle name="Millares 6" xfId="8" xr:uid="{00000000-0005-0000-0000-000007000000}"/>
    <cellStyle name="Normal" xfId="0" builtinId="0" customBuiltin="1"/>
    <cellStyle name="Normal 15" xfId="9" xr:uid="{00000000-0005-0000-0000-000009000000}"/>
    <cellStyle name="Normal 2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320842</xdr:colOff>
      <xdr:row>0</xdr:row>
      <xdr:rowOff>70184</xdr:rowOff>
    </xdr:from>
    <xdr:to>
      <xdr:col>3</xdr:col>
      <xdr:colOff>757823</xdr:colOff>
      <xdr:row>5</xdr:row>
      <xdr:rowOff>30078</xdr:rowOff>
    </xdr:to>
    <xdr:pic>
      <xdr:nvPicPr>
        <xdr:cNvPr id="2427355" name="Imagen 3">
          <a:extLst>
            <a:ext uri="{FF2B5EF4-FFF2-40B4-BE49-F238E27FC236}">
              <a16:creationId xmlns:a16="http://schemas.microsoft.com/office/drawing/2014/main" id="{06D36B7B-432B-9415-313B-06F45901F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190" t="35667" r="34509" b="40652"/>
        <a:stretch>
          <a:fillRect/>
        </a:stretch>
      </xdr:blipFill>
      <xdr:spPr bwMode="auto">
        <a:xfrm>
          <a:off x="461210" y="70184"/>
          <a:ext cx="2005264" cy="1163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4</xdr:row>
      <xdr:rowOff>0</xdr:rowOff>
    </xdr:from>
    <xdr:to>
      <xdr:col>17</xdr:col>
      <xdr:colOff>0</xdr:colOff>
      <xdr:row>4</xdr:row>
      <xdr:rowOff>0</xdr:rowOff>
    </xdr:to>
    <xdr:sp macro="" textlink="">
      <xdr:nvSpPr>
        <xdr:cNvPr id="2425595" name="Line 1">
          <a:extLst>
            <a:ext uri="{FF2B5EF4-FFF2-40B4-BE49-F238E27FC236}">
              <a16:creationId xmlns:a16="http://schemas.microsoft.com/office/drawing/2014/main" id="{10F08CCE-2D75-7614-3DF5-F3241B2DD61B}"/>
            </a:ext>
          </a:extLst>
        </xdr:cNvPr>
        <xdr:cNvSpPr>
          <a:spLocks noChangeShapeType="1"/>
        </xdr:cNvSpPr>
      </xdr:nvSpPr>
      <xdr:spPr bwMode="auto">
        <a:xfrm>
          <a:off x="12496800" y="866775"/>
          <a:ext cx="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93518</xdr:colOff>
      <xdr:row>1</xdr:row>
      <xdr:rowOff>34635</xdr:rowOff>
    </xdr:from>
    <xdr:to>
      <xdr:col>3</xdr:col>
      <xdr:colOff>329045</xdr:colOff>
      <xdr:row>4</xdr:row>
      <xdr:rowOff>89476</xdr:rowOff>
    </xdr:to>
    <xdr:pic>
      <xdr:nvPicPr>
        <xdr:cNvPr id="2425596" name="Imagen 3">
          <a:extLst>
            <a:ext uri="{FF2B5EF4-FFF2-40B4-BE49-F238E27FC236}">
              <a16:creationId xmlns:a16="http://schemas.microsoft.com/office/drawing/2014/main" id="{51A8F20B-122C-4918-53F2-D80F23EA3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190" t="35667" r="34509" b="40652"/>
        <a:stretch>
          <a:fillRect/>
        </a:stretch>
      </xdr:blipFill>
      <xdr:spPr bwMode="auto">
        <a:xfrm>
          <a:off x="266700" y="199158"/>
          <a:ext cx="1672936" cy="920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4</xdr:row>
      <xdr:rowOff>0</xdr:rowOff>
    </xdr:from>
    <xdr:to>
      <xdr:col>18</xdr:col>
      <xdr:colOff>0</xdr:colOff>
      <xdr:row>4</xdr:row>
      <xdr:rowOff>0</xdr:rowOff>
    </xdr:to>
    <xdr:sp macro="" textlink="">
      <xdr:nvSpPr>
        <xdr:cNvPr id="2426622" name="Line 1">
          <a:extLst>
            <a:ext uri="{FF2B5EF4-FFF2-40B4-BE49-F238E27FC236}">
              <a16:creationId xmlns:a16="http://schemas.microsoft.com/office/drawing/2014/main" id="{9C18C657-5B54-95F0-0446-6482274FFEDB}"/>
            </a:ext>
          </a:extLst>
        </xdr:cNvPr>
        <xdr:cNvSpPr>
          <a:spLocks noChangeShapeType="1"/>
        </xdr:cNvSpPr>
      </xdr:nvSpPr>
      <xdr:spPr bwMode="auto">
        <a:xfrm>
          <a:off x="12849225" y="866775"/>
          <a:ext cx="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9718</xdr:colOff>
      <xdr:row>0</xdr:row>
      <xdr:rowOff>38878</xdr:rowOff>
    </xdr:from>
    <xdr:to>
      <xdr:col>4</xdr:col>
      <xdr:colOff>437372</xdr:colOff>
      <xdr:row>4</xdr:row>
      <xdr:rowOff>11987</xdr:rowOff>
    </xdr:to>
    <xdr:pic>
      <xdr:nvPicPr>
        <xdr:cNvPr id="2426623" name="Imagen 3">
          <a:extLst>
            <a:ext uri="{FF2B5EF4-FFF2-40B4-BE49-F238E27FC236}">
              <a16:creationId xmlns:a16="http://schemas.microsoft.com/office/drawing/2014/main" id="{964A024D-DBAD-B647-CE17-64C6BB6FC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190" t="35667" r="34509" b="40652"/>
        <a:stretch>
          <a:fillRect/>
        </a:stretch>
      </xdr:blipFill>
      <xdr:spPr bwMode="auto">
        <a:xfrm>
          <a:off x="709514" y="38878"/>
          <a:ext cx="1739771" cy="99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4</xdr:row>
      <xdr:rowOff>0</xdr:rowOff>
    </xdr:from>
    <xdr:to>
      <xdr:col>18</xdr:col>
      <xdr:colOff>0</xdr:colOff>
      <xdr:row>4</xdr:row>
      <xdr:rowOff>0</xdr:rowOff>
    </xdr:to>
    <xdr:sp macro="" textlink="">
      <xdr:nvSpPr>
        <xdr:cNvPr id="2424590" name="Line 1">
          <a:extLst>
            <a:ext uri="{FF2B5EF4-FFF2-40B4-BE49-F238E27FC236}">
              <a16:creationId xmlns:a16="http://schemas.microsoft.com/office/drawing/2014/main" id="{7111AD9E-E16C-EA5D-957F-411855662493}"/>
            </a:ext>
          </a:extLst>
        </xdr:cNvPr>
        <xdr:cNvSpPr>
          <a:spLocks noChangeShapeType="1"/>
        </xdr:cNvSpPr>
      </xdr:nvSpPr>
      <xdr:spPr bwMode="auto">
        <a:xfrm>
          <a:off x="14478000" y="866775"/>
          <a:ext cx="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233795</xdr:colOff>
      <xdr:row>0</xdr:row>
      <xdr:rowOff>86592</xdr:rowOff>
    </xdr:from>
    <xdr:to>
      <xdr:col>3</xdr:col>
      <xdr:colOff>484908</xdr:colOff>
      <xdr:row>4</xdr:row>
      <xdr:rowOff>867</xdr:rowOff>
    </xdr:to>
    <xdr:pic>
      <xdr:nvPicPr>
        <xdr:cNvPr id="2424591" name="Imagen 3">
          <a:extLst>
            <a:ext uri="{FF2B5EF4-FFF2-40B4-BE49-F238E27FC236}">
              <a16:creationId xmlns:a16="http://schemas.microsoft.com/office/drawing/2014/main" id="{75C56149-CA3E-DC63-840A-319CC88D8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190" t="35667" r="34509" b="40652"/>
        <a:stretch>
          <a:fillRect/>
        </a:stretch>
      </xdr:blipFill>
      <xdr:spPr bwMode="auto">
        <a:xfrm>
          <a:off x="320386" y="86592"/>
          <a:ext cx="1549977" cy="970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5</xdr:row>
      <xdr:rowOff>0</xdr:rowOff>
    </xdr:from>
    <xdr:to>
      <xdr:col>18</xdr:col>
      <xdr:colOff>0</xdr:colOff>
      <xdr:row>5</xdr:row>
      <xdr:rowOff>0</xdr:rowOff>
    </xdr:to>
    <xdr:sp macro="" textlink="">
      <xdr:nvSpPr>
        <xdr:cNvPr id="2423586" name="Line 1">
          <a:extLst>
            <a:ext uri="{FF2B5EF4-FFF2-40B4-BE49-F238E27FC236}">
              <a16:creationId xmlns:a16="http://schemas.microsoft.com/office/drawing/2014/main" id="{AB5D25D7-2D4F-1B7E-B939-88AA23DA3469}"/>
            </a:ext>
          </a:extLst>
        </xdr:cNvPr>
        <xdr:cNvSpPr>
          <a:spLocks noChangeShapeType="1"/>
        </xdr:cNvSpPr>
      </xdr:nvSpPr>
      <xdr:spPr bwMode="auto">
        <a:xfrm>
          <a:off x="14525625" y="1028700"/>
          <a:ext cx="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269874</xdr:colOff>
      <xdr:row>0</xdr:row>
      <xdr:rowOff>122840</xdr:rowOff>
    </xdr:from>
    <xdr:to>
      <xdr:col>4</xdr:col>
      <xdr:colOff>182288</xdr:colOff>
      <xdr:row>5</xdr:row>
      <xdr:rowOff>43795</xdr:rowOff>
    </xdr:to>
    <xdr:pic>
      <xdr:nvPicPr>
        <xdr:cNvPr id="2423587" name="Imagen 4">
          <a:extLst>
            <a:ext uri="{FF2B5EF4-FFF2-40B4-BE49-F238E27FC236}">
              <a16:creationId xmlns:a16="http://schemas.microsoft.com/office/drawing/2014/main" id="{74B53DEE-861D-1640-D419-3ABDD0719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190" t="35667" r="34509" b="40652"/>
        <a:stretch>
          <a:fillRect/>
        </a:stretch>
      </xdr:blipFill>
      <xdr:spPr bwMode="auto">
        <a:xfrm>
          <a:off x="357460" y="122840"/>
          <a:ext cx="2156811" cy="1114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15876</xdr:colOff>
      <xdr:row>1</xdr:row>
      <xdr:rowOff>19050</xdr:rowOff>
    </xdr:from>
    <xdr:to>
      <xdr:col>3</xdr:col>
      <xdr:colOff>498476</xdr:colOff>
      <xdr:row>6</xdr:row>
      <xdr:rowOff>106279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C6416C74-F4D0-4CF3-B3D3-ECAB2AB23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190" t="35667" r="34509" b="40652"/>
        <a:stretch>
          <a:fillRect/>
        </a:stretch>
      </xdr:blipFill>
      <xdr:spPr bwMode="auto">
        <a:xfrm>
          <a:off x="127001" y="209550"/>
          <a:ext cx="2032000" cy="1230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5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C7587DEC-EE64-4DB4-9B2D-8940A883108A}">
  <we:reference id="a3b40b4f-8edf-490e-9df1-7e66f93912bf" version="1.1.0.0" store="EXCatalog" storeType="EXCatalog"/>
  <we:alternateReferences>
    <we:reference id="WA104380526" version="1.1.0.0" store="es-ES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2:S1351"/>
  <sheetViews>
    <sheetView tabSelected="1" topLeftCell="D79" zoomScale="95" zoomScaleNormal="95" workbookViewId="0">
      <selection activeCell="O7" sqref="O7"/>
    </sheetView>
  </sheetViews>
  <sheetFormatPr baseColWidth="10" defaultColWidth="11.42578125" defaultRowHeight="15" x14ac:dyDescent="0.25"/>
  <cols>
    <col min="1" max="1" width="2.140625" customWidth="1"/>
    <col min="2" max="3" width="11.7109375" style="503" customWidth="1"/>
    <col min="5" max="5" width="12.5703125" customWidth="1"/>
    <col min="6" max="6" width="22.7109375" customWidth="1"/>
    <col min="7" max="7" width="29.42578125" customWidth="1"/>
    <col min="8" max="8" width="28.28515625" customWidth="1"/>
    <col min="9" max="9" width="20.7109375" customWidth="1"/>
    <col min="10" max="10" width="20.28515625" customWidth="1"/>
    <col min="11" max="11" width="8.28515625" customWidth="1"/>
    <col min="12" max="12" width="18.28515625" customWidth="1"/>
    <col min="13" max="13" width="6.7109375" style="396" customWidth="1"/>
    <col min="14" max="14" width="12.28515625" style="613" customWidth="1"/>
    <col min="15" max="15" width="14.140625" style="611" customWidth="1"/>
    <col min="16" max="16" width="17.5703125" hidden="1" customWidth="1"/>
    <col min="17" max="17" width="19.7109375" customWidth="1"/>
    <col min="18" max="18" width="13.140625" customWidth="1"/>
    <col min="19" max="19" width="14.5703125" customWidth="1"/>
    <col min="20" max="20" width="4.7109375" customWidth="1"/>
    <col min="21" max="21" width="2.140625" customWidth="1"/>
    <col min="22" max="22" width="3.140625" customWidth="1"/>
    <col min="23" max="23" width="3.5703125" customWidth="1"/>
  </cols>
  <sheetData>
    <row r="2" spans="1:18" ht="26.25" x14ac:dyDescent="0.3">
      <c r="D2" s="12" t="s">
        <v>0</v>
      </c>
      <c r="E2" s="397"/>
      <c r="F2" s="397"/>
      <c r="G2" s="397"/>
      <c r="H2" s="397"/>
      <c r="I2" s="398"/>
      <c r="J2" s="398"/>
      <c r="K2" s="398"/>
      <c r="L2" s="398"/>
      <c r="M2" s="410"/>
      <c r="N2" s="612"/>
      <c r="O2" s="614"/>
      <c r="P2" s="398"/>
    </row>
    <row r="3" spans="1:18" ht="20.25" x14ac:dyDescent="0.25">
      <c r="D3" s="14" t="s">
        <v>1</v>
      </c>
      <c r="E3" s="399"/>
      <c r="F3" s="399"/>
      <c r="G3" s="399"/>
      <c r="H3" s="399"/>
      <c r="I3" s="399"/>
      <c r="J3" s="399"/>
      <c r="K3" s="399"/>
      <c r="L3" s="399"/>
      <c r="M3" s="411"/>
      <c r="N3" s="411"/>
      <c r="O3" s="399"/>
      <c r="P3" s="412"/>
    </row>
    <row r="4" spans="1:18" ht="18" x14ac:dyDescent="0.25">
      <c r="D4" s="18" t="s">
        <v>4468</v>
      </c>
      <c r="E4" s="400"/>
      <c r="F4" s="400"/>
      <c r="G4" s="400"/>
      <c r="H4" s="400"/>
      <c r="I4" s="400"/>
      <c r="J4" s="400"/>
      <c r="K4" s="400"/>
      <c r="L4" s="400"/>
      <c r="M4" s="413"/>
      <c r="N4" s="413"/>
      <c r="O4" s="400"/>
      <c r="P4" s="400"/>
    </row>
    <row r="7" spans="1:18" ht="57.75" customHeight="1" x14ac:dyDescent="0.25">
      <c r="B7" s="553" t="s">
        <v>4344</v>
      </c>
      <c r="C7" s="553" t="s">
        <v>4345</v>
      </c>
      <c r="D7" s="534" t="s">
        <v>3</v>
      </c>
      <c r="E7" s="534" t="s">
        <v>4</v>
      </c>
      <c r="F7" s="558" t="s">
        <v>5</v>
      </c>
      <c r="G7" s="534" t="s">
        <v>6</v>
      </c>
      <c r="H7" s="534" t="s">
        <v>7</v>
      </c>
      <c r="I7" s="535" t="s">
        <v>8</v>
      </c>
      <c r="J7" s="536" t="s">
        <v>9</v>
      </c>
      <c r="K7" s="536" t="s">
        <v>10</v>
      </c>
      <c r="L7" s="536" t="s">
        <v>11</v>
      </c>
      <c r="M7" s="648" t="s">
        <v>12</v>
      </c>
      <c r="N7" s="648" t="s">
        <v>13</v>
      </c>
      <c r="O7" s="537" t="s">
        <v>14</v>
      </c>
      <c r="P7" s="537" t="s">
        <v>15</v>
      </c>
      <c r="Q7" s="537" t="s">
        <v>15</v>
      </c>
      <c r="R7" s="537" t="s">
        <v>16</v>
      </c>
    </row>
    <row r="8" spans="1:18" ht="43.5" customHeight="1" x14ac:dyDescent="0.25">
      <c r="B8" s="661">
        <v>38400</v>
      </c>
      <c r="C8" s="662" t="s">
        <v>2351</v>
      </c>
      <c r="D8" s="663" t="s">
        <v>17</v>
      </c>
      <c r="E8" s="651" t="s">
        <v>25</v>
      </c>
      <c r="F8" s="663" t="s">
        <v>22</v>
      </c>
      <c r="G8" s="651" t="s">
        <v>18</v>
      </c>
      <c r="H8" s="651" t="s">
        <v>23</v>
      </c>
      <c r="I8" s="651" t="s">
        <v>24</v>
      </c>
      <c r="J8" s="664">
        <v>4173.6000000000004</v>
      </c>
      <c r="K8" s="665">
        <v>28.491</v>
      </c>
      <c r="L8" s="655">
        <f t="shared" ref="L8:L17" si="0">+J8/K8</f>
        <v>146.48836474676216</v>
      </c>
      <c r="M8" s="666">
        <v>60</v>
      </c>
      <c r="N8" s="667">
        <f t="shared" ref="N8:N17" si="1">IF(AND(J8&lt;&gt;0,M8&lt;&gt;0),J8/M8,0)</f>
        <v>69.56</v>
      </c>
      <c r="O8" s="668">
        <f t="shared" ref="O8:O16" ca="1" si="2">IF(B8&lt;&gt;0,(ROUND((NOW()-B8)/30,0)),0)</f>
        <v>230</v>
      </c>
      <c r="P8" s="655">
        <f t="shared" ref="P8:P17" ca="1" si="3">IF(OR(J8=0,M8=0,O8=0),0,J8-(N8*O8))</f>
        <v>-11825.2</v>
      </c>
      <c r="Q8" s="667">
        <f t="shared" ref="Q8:Q71" ca="1" si="4">IF(P8&lt;1,1,P8)</f>
        <v>1</v>
      </c>
      <c r="R8" s="669" t="s">
        <v>20</v>
      </c>
    </row>
    <row r="9" spans="1:18" ht="39.950000000000003" customHeight="1" x14ac:dyDescent="0.25">
      <c r="B9" s="661">
        <v>38400</v>
      </c>
      <c r="C9" s="662" t="s">
        <v>2351</v>
      </c>
      <c r="D9" s="663" t="s">
        <v>17</v>
      </c>
      <c r="E9" s="651" t="s">
        <v>26</v>
      </c>
      <c r="F9" s="663" t="s">
        <v>22</v>
      </c>
      <c r="G9" s="651" t="s">
        <v>18</v>
      </c>
      <c r="H9" s="651" t="s">
        <v>23</v>
      </c>
      <c r="I9" s="651" t="s">
        <v>24</v>
      </c>
      <c r="J9" s="664">
        <v>4173.6000000000004</v>
      </c>
      <c r="K9" s="665">
        <v>28.491</v>
      </c>
      <c r="L9" s="655">
        <f t="shared" si="0"/>
        <v>146.48836474676216</v>
      </c>
      <c r="M9" s="666">
        <v>60</v>
      </c>
      <c r="N9" s="667">
        <f t="shared" si="1"/>
        <v>69.56</v>
      </c>
      <c r="O9" s="668">
        <f t="shared" ca="1" si="2"/>
        <v>230</v>
      </c>
      <c r="P9" s="655">
        <f t="shared" ca="1" si="3"/>
        <v>-11825.2</v>
      </c>
      <c r="Q9" s="667">
        <f t="shared" ca="1" si="4"/>
        <v>1</v>
      </c>
      <c r="R9" s="669" t="s">
        <v>20</v>
      </c>
    </row>
    <row r="10" spans="1:18" ht="39.950000000000003" customHeight="1" x14ac:dyDescent="0.25">
      <c r="B10" s="661">
        <v>38400</v>
      </c>
      <c r="C10" s="662" t="s">
        <v>2351</v>
      </c>
      <c r="D10" s="663" t="s">
        <v>17</v>
      </c>
      <c r="E10" s="651" t="s">
        <v>27</v>
      </c>
      <c r="F10" s="663" t="s">
        <v>22</v>
      </c>
      <c r="G10" s="651" t="s">
        <v>18</v>
      </c>
      <c r="H10" s="651" t="s">
        <v>23</v>
      </c>
      <c r="I10" s="651" t="s">
        <v>24</v>
      </c>
      <c r="J10" s="664">
        <v>4173.6000000000004</v>
      </c>
      <c r="K10" s="665">
        <v>28.491</v>
      </c>
      <c r="L10" s="655">
        <f t="shared" si="0"/>
        <v>146.48836474676216</v>
      </c>
      <c r="M10" s="666">
        <v>60</v>
      </c>
      <c r="N10" s="667">
        <f t="shared" si="1"/>
        <v>69.56</v>
      </c>
      <c r="O10" s="668">
        <f t="shared" ca="1" si="2"/>
        <v>230</v>
      </c>
      <c r="P10" s="655">
        <f t="shared" ca="1" si="3"/>
        <v>-11825.2</v>
      </c>
      <c r="Q10" s="667">
        <f t="shared" ca="1" si="4"/>
        <v>1</v>
      </c>
      <c r="R10" s="669" t="s">
        <v>20</v>
      </c>
    </row>
    <row r="11" spans="1:18" ht="39.950000000000003" customHeight="1" x14ac:dyDescent="0.25">
      <c r="B11" s="661">
        <v>38652</v>
      </c>
      <c r="C11" s="662" t="s">
        <v>2351</v>
      </c>
      <c r="D11" s="669" t="s">
        <v>31</v>
      </c>
      <c r="E11" s="651" t="s">
        <v>32</v>
      </c>
      <c r="F11" s="663" t="s">
        <v>33</v>
      </c>
      <c r="G11" s="651" t="s">
        <v>28</v>
      </c>
      <c r="H11" s="651" t="s">
        <v>34</v>
      </c>
      <c r="I11" s="651" t="s">
        <v>19</v>
      </c>
      <c r="J11" s="664">
        <v>5700</v>
      </c>
      <c r="K11" s="665">
        <v>33.089515848136543</v>
      </c>
      <c r="L11" s="655">
        <f t="shared" si="0"/>
        <v>172.25999999999996</v>
      </c>
      <c r="M11" s="666">
        <v>60</v>
      </c>
      <c r="N11" s="667">
        <f t="shared" si="1"/>
        <v>95</v>
      </c>
      <c r="O11" s="668">
        <f t="shared" ca="1" si="2"/>
        <v>222</v>
      </c>
      <c r="P11" s="655">
        <f t="shared" ca="1" si="3"/>
        <v>-15390</v>
      </c>
      <c r="Q11" s="667">
        <f t="shared" ca="1" si="4"/>
        <v>1</v>
      </c>
      <c r="R11" s="669" t="s">
        <v>35</v>
      </c>
    </row>
    <row r="12" spans="1:18" ht="58.5" customHeight="1" x14ac:dyDescent="0.25">
      <c r="A12" s="395"/>
      <c r="B12" s="661">
        <v>38733</v>
      </c>
      <c r="C12" s="662" t="s">
        <v>2351</v>
      </c>
      <c r="D12" s="669" t="s">
        <v>36</v>
      </c>
      <c r="E12" s="651" t="s">
        <v>37</v>
      </c>
      <c r="F12" s="663" t="s">
        <v>38</v>
      </c>
      <c r="G12" s="651" t="s">
        <v>39</v>
      </c>
      <c r="H12" s="651" t="s">
        <v>40</v>
      </c>
      <c r="I12" s="651" t="s">
        <v>19</v>
      </c>
      <c r="J12" s="664">
        <v>887978.72</v>
      </c>
      <c r="K12" s="665">
        <v>34.449999941806041</v>
      </c>
      <c r="L12" s="655">
        <f t="shared" si="0"/>
        <v>25775.869999999995</v>
      </c>
      <c r="M12" s="666">
        <v>60</v>
      </c>
      <c r="N12" s="667">
        <f t="shared" si="1"/>
        <v>14799.645333333332</v>
      </c>
      <c r="O12" s="668">
        <f t="shared" ca="1" si="2"/>
        <v>219</v>
      </c>
      <c r="P12" s="655">
        <f t="shared" ca="1" si="3"/>
        <v>-2353143.608</v>
      </c>
      <c r="Q12" s="667">
        <f t="shared" ca="1" si="4"/>
        <v>1</v>
      </c>
      <c r="R12" s="669" t="s">
        <v>41</v>
      </c>
    </row>
    <row r="13" spans="1:18" ht="48" customHeight="1" x14ac:dyDescent="0.25">
      <c r="A13" s="395"/>
      <c r="B13" s="661">
        <v>38733</v>
      </c>
      <c r="C13" s="662" t="s">
        <v>2351</v>
      </c>
      <c r="D13" s="669" t="s">
        <v>36</v>
      </c>
      <c r="E13" s="651" t="s">
        <v>42</v>
      </c>
      <c r="F13" s="663" t="s">
        <v>43</v>
      </c>
      <c r="G13" s="651" t="s">
        <v>44</v>
      </c>
      <c r="H13" s="651" t="s">
        <v>45</v>
      </c>
      <c r="I13" s="651" t="s">
        <v>46</v>
      </c>
      <c r="J13" s="664">
        <v>887978.73</v>
      </c>
      <c r="K13" s="665">
        <v>34.449999941806041</v>
      </c>
      <c r="L13" s="655">
        <f t="shared" si="0"/>
        <v>25775.870290275758</v>
      </c>
      <c r="M13" s="666">
        <v>60</v>
      </c>
      <c r="N13" s="667">
        <f t="shared" si="1"/>
        <v>14799.645500000001</v>
      </c>
      <c r="O13" s="668">
        <f t="shared" ca="1" si="2"/>
        <v>219</v>
      </c>
      <c r="P13" s="655">
        <f t="shared" ca="1" si="3"/>
        <v>-2353143.6345000002</v>
      </c>
      <c r="Q13" s="667">
        <f t="shared" ca="1" si="4"/>
        <v>1</v>
      </c>
      <c r="R13" s="669" t="s">
        <v>41</v>
      </c>
    </row>
    <row r="14" spans="1:18" ht="67.5" customHeight="1" x14ac:dyDescent="0.25">
      <c r="A14" s="395"/>
      <c r="B14" s="661">
        <v>38733</v>
      </c>
      <c r="C14" s="662" t="s">
        <v>2351</v>
      </c>
      <c r="D14" s="669" t="s">
        <v>36</v>
      </c>
      <c r="E14" s="651" t="s">
        <v>47</v>
      </c>
      <c r="F14" s="663" t="s">
        <v>38</v>
      </c>
      <c r="G14" s="651" t="s">
        <v>48</v>
      </c>
      <c r="H14" s="651" t="s">
        <v>49</v>
      </c>
      <c r="I14" s="651" t="s">
        <v>50</v>
      </c>
      <c r="J14" s="670">
        <v>887978.72</v>
      </c>
      <c r="K14" s="665">
        <v>34.450000329765786</v>
      </c>
      <c r="L14" s="655">
        <f t="shared" si="0"/>
        <v>25775.86970972424</v>
      </c>
      <c r="M14" s="628">
        <v>60</v>
      </c>
      <c r="N14" s="667">
        <f t="shared" si="1"/>
        <v>14799.645333333332</v>
      </c>
      <c r="O14" s="668">
        <f t="shared" ca="1" si="2"/>
        <v>219</v>
      </c>
      <c r="P14" s="655">
        <f t="shared" ca="1" si="3"/>
        <v>-2353143.608</v>
      </c>
      <c r="Q14" s="667">
        <f t="shared" ca="1" si="4"/>
        <v>1</v>
      </c>
      <c r="R14" s="669" t="s">
        <v>41</v>
      </c>
    </row>
    <row r="15" spans="1:18" ht="54.75" customHeight="1" x14ac:dyDescent="0.25">
      <c r="B15" s="661">
        <v>38785</v>
      </c>
      <c r="C15" s="662" t="s">
        <v>2351</v>
      </c>
      <c r="D15" s="669" t="s">
        <v>51</v>
      </c>
      <c r="E15" s="651" t="s">
        <v>52</v>
      </c>
      <c r="F15" s="663" t="s">
        <v>53</v>
      </c>
      <c r="G15" s="651" t="s">
        <v>28</v>
      </c>
      <c r="H15" s="651" t="s">
        <v>23</v>
      </c>
      <c r="I15" s="651" t="s">
        <v>54</v>
      </c>
      <c r="J15" s="664">
        <v>3445</v>
      </c>
      <c r="K15" s="665">
        <v>32.82</v>
      </c>
      <c r="L15" s="655">
        <f t="shared" si="0"/>
        <v>104.96648385131017</v>
      </c>
      <c r="M15" s="666">
        <v>60</v>
      </c>
      <c r="N15" s="667">
        <f t="shared" si="1"/>
        <v>57.416666666666664</v>
      </c>
      <c r="O15" s="668">
        <f t="shared" ca="1" si="2"/>
        <v>217</v>
      </c>
      <c r="P15" s="655">
        <f t="shared" ca="1" si="3"/>
        <v>-9014.4166666666661</v>
      </c>
      <c r="Q15" s="667">
        <f t="shared" ca="1" si="4"/>
        <v>1</v>
      </c>
      <c r="R15" s="669" t="s">
        <v>55</v>
      </c>
    </row>
    <row r="16" spans="1:18" ht="45.75" customHeight="1" x14ac:dyDescent="0.25">
      <c r="B16" s="661">
        <v>38965</v>
      </c>
      <c r="C16" s="662" t="s">
        <v>2351</v>
      </c>
      <c r="D16" s="669" t="s">
        <v>56</v>
      </c>
      <c r="E16" s="651" t="s">
        <v>57</v>
      </c>
      <c r="F16" s="663" t="s">
        <v>58</v>
      </c>
      <c r="G16" s="651" t="s">
        <v>59</v>
      </c>
      <c r="H16" s="651" t="s">
        <v>60</v>
      </c>
      <c r="I16" s="651" t="s">
        <v>19</v>
      </c>
      <c r="J16" s="664">
        <v>225703.90200000003</v>
      </c>
      <c r="K16" s="665">
        <v>32.700000000000003</v>
      </c>
      <c r="L16" s="655">
        <f t="shared" si="0"/>
        <v>6902.26</v>
      </c>
      <c r="M16" s="666">
        <v>60</v>
      </c>
      <c r="N16" s="667">
        <f t="shared" si="1"/>
        <v>3761.7317000000007</v>
      </c>
      <c r="O16" s="668">
        <f t="shared" ca="1" si="2"/>
        <v>211</v>
      </c>
      <c r="P16" s="655">
        <f t="shared" ca="1" si="3"/>
        <v>-568021.48670000012</v>
      </c>
      <c r="Q16" s="667">
        <f t="shared" ca="1" si="4"/>
        <v>1</v>
      </c>
      <c r="R16" s="669" t="s">
        <v>61</v>
      </c>
    </row>
    <row r="17" spans="1:18" ht="47.25" customHeight="1" x14ac:dyDescent="0.25">
      <c r="B17" s="661">
        <v>38965</v>
      </c>
      <c r="C17" s="662" t="s">
        <v>2351</v>
      </c>
      <c r="D17" s="669" t="s">
        <v>56</v>
      </c>
      <c r="E17" s="651" t="s">
        <v>62</v>
      </c>
      <c r="F17" s="663" t="s">
        <v>63</v>
      </c>
      <c r="G17" s="651" t="s">
        <v>64</v>
      </c>
      <c r="H17" s="651" t="s">
        <v>60</v>
      </c>
      <c r="I17" s="651" t="s">
        <v>19</v>
      </c>
      <c r="J17" s="664">
        <v>132678.288</v>
      </c>
      <c r="K17" s="665">
        <v>32.700000000000003</v>
      </c>
      <c r="L17" s="655">
        <f t="shared" si="0"/>
        <v>4057.4399999999996</v>
      </c>
      <c r="M17" s="666">
        <v>60</v>
      </c>
      <c r="N17" s="667">
        <f t="shared" si="1"/>
        <v>2211.3047999999999</v>
      </c>
      <c r="O17" s="668">
        <f t="shared" ref="O17:O70" ca="1" si="5">IF(B17&lt;&gt;0,(ROUND((NOW()-B17)/30,0)),0)</f>
        <v>211</v>
      </c>
      <c r="P17" s="655">
        <f t="shared" ca="1" si="3"/>
        <v>-333907.02479999996</v>
      </c>
      <c r="Q17" s="667">
        <f t="shared" ca="1" si="4"/>
        <v>1</v>
      </c>
      <c r="R17" s="669" t="s">
        <v>61</v>
      </c>
    </row>
    <row r="18" spans="1:18" ht="44.25" customHeight="1" x14ac:dyDescent="0.25">
      <c r="B18" s="661">
        <v>38965</v>
      </c>
      <c r="C18" s="662" t="s">
        <v>2351</v>
      </c>
      <c r="D18" s="669" t="s">
        <v>56</v>
      </c>
      <c r="E18" s="651" t="s">
        <v>65</v>
      </c>
      <c r="F18" s="663" t="s">
        <v>63</v>
      </c>
      <c r="G18" s="651" t="s">
        <v>66</v>
      </c>
      <c r="H18" s="651" t="s">
        <v>60</v>
      </c>
      <c r="I18" s="651" t="s">
        <v>19</v>
      </c>
      <c r="J18" s="664">
        <v>132678.288</v>
      </c>
      <c r="K18" s="665">
        <v>32.700000000000003</v>
      </c>
      <c r="L18" s="655">
        <f t="shared" ref="L18:L70" si="6">+J18/K18</f>
        <v>4057.4399999999996</v>
      </c>
      <c r="M18" s="666">
        <v>60</v>
      </c>
      <c r="N18" s="667">
        <f t="shared" ref="N18:N70" si="7">IF(AND(J18&lt;&gt;0,M18&lt;&gt;0),J18/M18,0)</f>
        <v>2211.3047999999999</v>
      </c>
      <c r="O18" s="668">
        <f t="shared" ca="1" si="5"/>
        <v>211</v>
      </c>
      <c r="P18" s="655">
        <f t="shared" ref="P18:P71" ca="1" si="8">IF(OR(J18=0,M18=0,O18=0),0,J18-(N18*O18))</f>
        <v>-333907.02479999996</v>
      </c>
      <c r="Q18" s="667">
        <f t="shared" ca="1" si="4"/>
        <v>1</v>
      </c>
      <c r="R18" s="669" t="s">
        <v>61</v>
      </c>
    </row>
    <row r="19" spans="1:18" ht="81.75" customHeight="1" x14ac:dyDescent="0.25">
      <c r="A19" s="395"/>
      <c r="B19" s="661">
        <v>39013</v>
      </c>
      <c r="C19" s="662" t="s">
        <v>2351</v>
      </c>
      <c r="D19" s="669" t="s">
        <v>69</v>
      </c>
      <c r="E19" s="651" t="s">
        <v>70</v>
      </c>
      <c r="F19" s="663" t="s">
        <v>71</v>
      </c>
      <c r="G19" s="651" t="s">
        <v>72</v>
      </c>
      <c r="H19" s="651" t="s">
        <v>40</v>
      </c>
      <c r="I19" s="651" t="s">
        <v>19</v>
      </c>
      <c r="J19" s="664">
        <v>2104482.7599999998</v>
      </c>
      <c r="K19" s="665">
        <v>33.5</v>
      </c>
      <c r="L19" s="655">
        <f t="shared" si="6"/>
        <v>62820.380895522379</v>
      </c>
      <c r="M19" s="666">
        <v>60</v>
      </c>
      <c r="N19" s="667">
        <f t="shared" si="7"/>
        <v>35074.712666666666</v>
      </c>
      <c r="O19" s="668">
        <f t="shared" ca="1" si="5"/>
        <v>210</v>
      </c>
      <c r="P19" s="655">
        <f t="shared" ca="1" si="8"/>
        <v>-5261206.9000000004</v>
      </c>
      <c r="Q19" s="667">
        <f t="shared" ca="1" si="4"/>
        <v>1</v>
      </c>
      <c r="R19" s="669" t="s">
        <v>73</v>
      </c>
    </row>
    <row r="20" spans="1:18" ht="39.950000000000003" customHeight="1" x14ac:dyDescent="0.25">
      <c r="B20" s="661">
        <v>39051</v>
      </c>
      <c r="C20" s="662" t="s">
        <v>2351</v>
      </c>
      <c r="D20" s="669" t="s">
        <v>74</v>
      </c>
      <c r="E20" s="651" t="s">
        <v>75</v>
      </c>
      <c r="F20" s="663" t="s">
        <v>76</v>
      </c>
      <c r="G20" s="651" t="s">
        <v>28</v>
      </c>
      <c r="H20" s="651" t="s">
        <v>77</v>
      </c>
      <c r="I20" s="651" t="s">
        <v>19</v>
      </c>
      <c r="J20" s="664">
        <v>25979.743999999999</v>
      </c>
      <c r="K20" s="665">
        <v>33.33</v>
      </c>
      <c r="L20" s="655">
        <f t="shared" si="6"/>
        <v>779.47026702670269</v>
      </c>
      <c r="M20" s="666">
        <v>60</v>
      </c>
      <c r="N20" s="667">
        <f t="shared" si="7"/>
        <v>432.99573333333331</v>
      </c>
      <c r="O20" s="668">
        <f t="shared" ca="1" si="5"/>
        <v>208</v>
      </c>
      <c r="P20" s="655">
        <f t="shared" ca="1" si="8"/>
        <v>-64083.368533333334</v>
      </c>
      <c r="Q20" s="667">
        <f t="shared" ca="1" si="4"/>
        <v>1</v>
      </c>
      <c r="R20" s="669" t="s">
        <v>78</v>
      </c>
    </row>
    <row r="21" spans="1:18" ht="63.75" customHeight="1" x14ac:dyDescent="0.25">
      <c r="B21" s="661">
        <v>39051</v>
      </c>
      <c r="C21" s="662" t="s">
        <v>2351</v>
      </c>
      <c r="D21" s="669" t="s">
        <v>81</v>
      </c>
      <c r="E21" s="651" t="s">
        <v>83</v>
      </c>
      <c r="F21" s="663" t="s">
        <v>82</v>
      </c>
      <c r="G21" s="651" t="s">
        <v>28</v>
      </c>
      <c r="H21" s="651" t="s">
        <v>67</v>
      </c>
      <c r="I21" s="651" t="s">
        <v>68</v>
      </c>
      <c r="J21" s="664">
        <v>6643.8</v>
      </c>
      <c r="K21" s="665">
        <v>33.33</v>
      </c>
      <c r="L21" s="655">
        <f t="shared" si="6"/>
        <v>199.33393339333935</v>
      </c>
      <c r="M21" s="666">
        <v>60</v>
      </c>
      <c r="N21" s="667">
        <f t="shared" si="7"/>
        <v>110.73</v>
      </c>
      <c r="O21" s="668">
        <f t="shared" ca="1" si="5"/>
        <v>208</v>
      </c>
      <c r="P21" s="655">
        <f t="shared" ca="1" si="8"/>
        <v>-16388.04</v>
      </c>
      <c r="Q21" s="667">
        <f t="shared" ca="1" si="4"/>
        <v>1</v>
      </c>
      <c r="R21" s="669" t="s">
        <v>20</v>
      </c>
    </row>
    <row r="22" spans="1:18" ht="71.25" customHeight="1" x14ac:dyDescent="0.25">
      <c r="B22" s="661">
        <v>39051</v>
      </c>
      <c r="C22" s="662" t="s">
        <v>2351</v>
      </c>
      <c r="D22" s="669" t="s">
        <v>81</v>
      </c>
      <c r="E22" s="651" t="s">
        <v>84</v>
      </c>
      <c r="F22" s="663" t="s">
        <v>82</v>
      </c>
      <c r="G22" s="651" t="s">
        <v>28</v>
      </c>
      <c r="H22" s="651" t="s">
        <v>67</v>
      </c>
      <c r="I22" s="651" t="s">
        <v>68</v>
      </c>
      <c r="J22" s="664">
        <v>6643.8</v>
      </c>
      <c r="K22" s="665">
        <v>33.33</v>
      </c>
      <c r="L22" s="655">
        <f t="shared" si="6"/>
        <v>199.33393339333935</v>
      </c>
      <c r="M22" s="666">
        <v>60</v>
      </c>
      <c r="N22" s="667">
        <f t="shared" si="7"/>
        <v>110.73</v>
      </c>
      <c r="O22" s="668">
        <f t="shared" ca="1" si="5"/>
        <v>208</v>
      </c>
      <c r="P22" s="655">
        <f t="shared" ca="1" si="8"/>
        <v>-16388.04</v>
      </c>
      <c r="Q22" s="667">
        <f t="shared" ca="1" si="4"/>
        <v>1</v>
      </c>
      <c r="R22" s="669" t="s">
        <v>20</v>
      </c>
    </row>
    <row r="23" spans="1:18" ht="65.25" customHeight="1" x14ac:dyDescent="0.25">
      <c r="B23" s="661">
        <v>39051</v>
      </c>
      <c r="C23" s="662" t="s">
        <v>2351</v>
      </c>
      <c r="D23" s="669" t="s">
        <v>81</v>
      </c>
      <c r="E23" s="651" t="s">
        <v>85</v>
      </c>
      <c r="F23" s="663" t="s">
        <v>82</v>
      </c>
      <c r="G23" s="651" t="s">
        <v>28</v>
      </c>
      <c r="H23" s="651" t="s">
        <v>67</v>
      </c>
      <c r="I23" s="651" t="s">
        <v>68</v>
      </c>
      <c r="J23" s="664">
        <v>6643.8</v>
      </c>
      <c r="K23" s="665">
        <v>33.33</v>
      </c>
      <c r="L23" s="655">
        <f t="shared" si="6"/>
        <v>199.33393339333935</v>
      </c>
      <c r="M23" s="666">
        <v>60</v>
      </c>
      <c r="N23" s="667">
        <f t="shared" si="7"/>
        <v>110.73</v>
      </c>
      <c r="O23" s="668">
        <f t="shared" ca="1" si="5"/>
        <v>208</v>
      </c>
      <c r="P23" s="655">
        <f t="shared" ca="1" si="8"/>
        <v>-16388.04</v>
      </c>
      <c r="Q23" s="667">
        <f t="shared" ca="1" si="4"/>
        <v>1</v>
      </c>
      <c r="R23" s="669" t="s">
        <v>20</v>
      </c>
    </row>
    <row r="24" spans="1:18" ht="39.950000000000003" customHeight="1" x14ac:dyDescent="0.25">
      <c r="B24" s="661">
        <v>39051</v>
      </c>
      <c r="C24" s="662" t="s">
        <v>2351</v>
      </c>
      <c r="D24" s="669" t="s">
        <v>81</v>
      </c>
      <c r="E24" s="651" t="s">
        <v>86</v>
      </c>
      <c r="F24" s="663" t="s">
        <v>82</v>
      </c>
      <c r="G24" s="651" t="s">
        <v>28</v>
      </c>
      <c r="H24" s="651" t="s">
        <v>67</v>
      </c>
      <c r="I24" s="651" t="s">
        <v>68</v>
      </c>
      <c r="J24" s="664">
        <v>6643.8</v>
      </c>
      <c r="K24" s="665">
        <v>33.33</v>
      </c>
      <c r="L24" s="655">
        <f t="shared" si="6"/>
        <v>199.33393339333935</v>
      </c>
      <c r="M24" s="666">
        <v>60</v>
      </c>
      <c r="N24" s="667">
        <f t="shared" si="7"/>
        <v>110.73</v>
      </c>
      <c r="O24" s="668">
        <f t="shared" ca="1" si="5"/>
        <v>208</v>
      </c>
      <c r="P24" s="655">
        <f t="shared" ca="1" si="8"/>
        <v>-16388.04</v>
      </c>
      <c r="Q24" s="667">
        <f t="shared" ca="1" si="4"/>
        <v>1</v>
      </c>
      <c r="R24" s="669" t="s">
        <v>20</v>
      </c>
    </row>
    <row r="25" spans="1:18" ht="63.75" customHeight="1" x14ac:dyDescent="0.25">
      <c r="B25" s="661">
        <v>39051</v>
      </c>
      <c r="C25" s="662" t="s">
        <v>2351</v>
      </c>
      <c r="D25" s="669" t="s">
        <v>81</v>
      </c>
      <c r="E25" s="651" t="s">
        <v>87</v>
      </c>
      <c r="F25" s="663" t="s">
        <v>82</v>
      </c>
      <c r="G25" s="651" t="s">
        <v>28</v>
      </c>
      <c r="H25" s="651" t="s">
        <v>67</v>
      </c>
      <c r="I25" s="651" t="s">
        <v>68</v>
      </c>
      <c r="J25" s="664">
        <v>6643.8</v>
      </c>
      <c r="K25" s="665">
        <v>33.33</v>
      </c>
      <c r="L25" s="655">
        <f t="shared" si="6"/>
        <v>199.33393339333935</v>
      </c>
      <c r="M25" s="666">
        <v>60</v>
      </c>
      <c r="N25" s="667">
        <f t="shared" si="7"/>
        <v>110.73</v>
      </c>
      <c r="O25" s="668">
        <f t="shared" ca="1" si="5"/>
        <v>208</v>
      </c>
      <c r="P25" s="655">
        <f t="shared" ca="1" si="8"/>
        <v>-16388.04</v>
      </c>
      <c r="Q25" s="667">
        <f t="shared" ca="1" si="4"/>
        <v>1</v>
      </c>
      <c r="R25" s="669" t="s">
        <v>20</v>
      </c>
    </row>
    <row r="26" spans="1:18" ht="44.25" customHeight="1" x14ac:dyDescent="0.25">
      <c r="B26" s="661">
        <v>39051</v>
      </c>
      <c r="C26" s="662" t="s">
        <v>2351</v>
      </c>
      <c r="D26" s="669" t="s">
        <v>81</v>
      </c>
      <c r="E26" s="651" t="s">
        <v>88</v>
      </c>
      <c r="F26" s="663" t="s">
        <v>89</v>
      </c>
      <c r="G26" s="651" t="s">
        <v>28</v>
      </c>
      <c r="H26" s="651" t="s">
        <v>67</v>
      </c>
      <c r="I26" s="651" t="s">
        <v>68</v>
      </c>
      <c r="J26" s="664">
        <v>3280</v>
      </c>
      <c r="K26" s="665">
        <v>33.33</v>
      </c>
      <c r="L26" s="655">
        <f t="shared" si="6"/>
        <v>98.409840984098409</v>
      </c>
      <c r="M26" s="666">
        <v>60</v>
      </c>
      <c r="N26" s="667">
        <f t="shared" si="7"/>
        <v>54.666666666666664</v>
      </c>
      <c r="O26" s="668">
        <f t="shared" ca="1" si="5"/>
        <v>208</v>
      </c>
      <c r="P26" s="655">
        <f t="shared" ca="1" si="8"/>
        <v>-8090.6666666666661</v>
      </c>
      <c r="Q26" s="667">
        <f t="shared" ca="1" si="4"/>
        <v>1</v>
      </c>
      <c r="R26" s="669" t="s">
        <v>20</v>
      </c>
    </row>
    <row r="27" spans="1:18" ht="42.75" customHeight="1" x14ac:dyDescent="0.25">
      <c r="B27" s="661">
        <v>39051</v>
      </c>
      <c r="C27" s="662" t="s">
        <v>2351</v>
      </c>
      <c r="D27" s="669" t="s">
        <v>81</v>
      </c>
      <c r="E27" s="651" t="s">
        <v>90</v>
      </c>
      <c r="F27" s="663" t="s">
        <v>89</v>
      </c>
      <c r="G27" s="651" t="s">
        <v>28</v>
      </c>
      <c r="H27" s="651" t="s">
        <v>67</v>
      </c>
      <c r="I27" s="651" t="s">
        <v>68</v>
      </c>
      <c r="J27" s="664">
        <v>3280</v>
      </c>
      <c r="K27" s="665">
        <v>33.33</v>
      </c>
      <c r="L27" s="655">
        <f t="shared" si="6"/>
        <v>98.409840984098409</v>
      </c>
      <c r="M27" s="666">
        <v>60</v>
      </c>
      <c r="N27" s="667">
        <f t="shared" si="7"/>
        <v>54.666666666666664</v>
      </c>
      <c r="O27" s="668">
        <f t="shared" ca="1" si="5"/>
        <v>208</v>
      </c>
      <c r="P27" s="655">
        <f t="shared" ca="1" si="8"/>
        <v>-8090.6666666666661</v>
      </c>
      <c r="Q27" s="667">
        <f t="shared" ca="1" si="4"/>
        <v>1</v>
      </c>
      <c r="R27" s="669" t="s">
        <v>20</v>
      </c>
    </row>
    <row r="28" spans="1:18" ht="39.950000000000003" customHeight="1" x14ac:dyDescent="0.25">
      <c r="B28" s="661">
        <v>39051</v>
      </c>
      <c r="C28" s="662" t="s">
        <v>2351</v>
      </c>
      <c r="D28" s="669" t="s">
        <v>81</v>
      </c>
      <c r="E28" s="651" t="s">
        <v>91</v>
      </c>
      <c r="F28" s="663" t="s">
        <v>89</v>
      </c>
      <c r="G28" s="651" t="s">
        <v>28</v>
      </c>
      <c r="H28" s="651" t="s">
        <v>67</v>
      </c>
      <c r="I28" s="651" t="s">
        <v>68</v>
      </c>
      <c r="J28" s="664">
        <v>3280</v>
      </c>
      <c r="K28" s="665">
        <v>33.33</v>
      </c>
      <c r="L28" s="655">
        <f t="shared" si="6"/>
        <v>98.409840984098409</v>
      </c>
      <c r="M28" s="666">
        <v>60</v>
      </c>
      <c r="N28" s="667">
        <f t="shared" si="7"/>
        <v>54.666666666666664</v>
      </c>
      <c r="O28" s="668">
        <f t="shared" ca="1" si="5"/>
        <v>208</v>
      </c>
      <c r="P28" s="655">
        <f t="shared" ca="1" si="8"/>
        <v>-8090.6666666666661</v>
      </c>
      <c r="Q28" s="667">
        <f t="shared" ca="1" si="4"/>
        <v>1</v>
      </c>
      <c r="R28" s="669" t="s">
        <v>20</v>
      </c>
    </row>
    <row r="29" spans="1:18" ht="69" customHeight="1" x14ac:dyDescent="0.25">
      <c r="B29" s="661">
        <v>39051</v>
      </c>
      <c r="C29" s="662" t="s">
        <v>2351</v>
      </c>
      <c r="D29" s="669" t="s">
        <v>81</v>
      </c>
      <c r="E29" s="651" t="s">
        <v>92</v>
      </c>
      <c r="F29" s="663" t="s">
        <v>93</v>
      </c>
      <c r="G29" s="651" t="s">
        <v>28</v>
      </c>
      <c r="H29" s="651" t="s">
        <v>67</v>
      </c>
      <c r="I29" s="651" t="s">
        <v>68</v>
      </c>
      <c r="J29" s="664">
        <v>6779.7</v>
      </c>
      <c r="K29" s="665">
        <v>33.33</v>
      </c>
      <c r="L29" s="655">
        <f t="shared" si="6"/>
        <v>203.41134113411343</v>
      </c>
      <c r="M29" s="666">
        <v>60</v>
      </c>
      <c r="N29" s="667">
        <f t="shared" si="7"/>
        <v>112.99499999999999</v>
      </c>
      <c r="O29" s="668">
        <f t="shared" ca="1" si="5"/>
        <v>208</v>
      </c>
      <c r="P29" s="655">
        <f t="shared" ca="1" si="8"/>
        <v>-16723.259999999998</v>
      </c>
      <c r="Q29" s="667">
        <f t="shared" ca="1" si="4"/>
        <v>1</v>
      </c>
      <c r="R29" s="669" t="s">
        <v>20</v>
      </c>
    </row>
    <row r="30" spans="1:18" ht="63.75" customHeight="1" x14ac:dyDescent="0.25">
      <c r="B30" s="661">
        <v>39051</v>
      </c>
      <c r="C30" s="662" t="s">
        <v>2351</v>
      </c>
      <c r="D30" s="669" t="s">
        <v>81</v>
      </c>
      <c r="E30" s="651" t="s">
        <v>94</v>
      </c>
      <c r="F30" s="663" t="s">
        <v>93</v>
      </c>
      <c r="G30" s="651" t="s">
        <v>28</v>
      </c>
      <c r="H30" s="651" t="s">
        <v>67</v>
      </c>
      <c r="I30" s="651" t="s">
        <v>68</v>
      </c>
      <c r="J30" s="664">
        <v>6779.7</v>
      </c>
      <c r="K30" s="665">
        <v>33.33</v>
      </c>
      <c r="L30" s="655">
        <f t="shared" si="6"/>
        <v>203.41134113411343</v>
      </c>
      <c r="M30" s="666">
        <v>60</v>
      </c>
      <c r="N30" s="667">
        <f t="shared" si="7"/>
        <v>112.99499999999999</v>
      </c>
      <c r="O30" s="668">
        <f t="shared" ca="1" si="5"/>
        <v>208</v>
      </c>
      <c r="P30" s="655">
        <f t="shared" ca="1" si="8"/>
        <v>-16723.259999999998</v>
      </c>
      <c r="Q30" s="667">
        <f t="shared" ca="1" si="4"/>
        <v>1</v>
      </c>
      <c r="R30" s="669" t="s">
        <v>20</v>
      </c>
    </row>
    <row r="31" spans="1:18" ht="61.5" customHeight="1" x14ac:dyDescent="0.25">
      <c r="B31" s="661">
        <v>39051</v>
      </c>
      <c r="C31" s="662" t="s">
        <v>2351</v>
      </c>
      <c r="D31" s="669" t="s">
        <v>81</v>
      </c>
      <c r="E31" s="651" t="s">
        <v>95</v>
      </c>
      <c r="F31" s="663" t="s">
        <v>93</v>
      </c>
      <c r="G31" s="651" t="s">
        <v>28</v>
      </c>
      <c r="H31" s="651" t="s">
        <v>67</v>
      </c>
      <c r="I31" s="651" t="s">
        <v>68</v>
      </c>
      <c r="J31" s="664">
        <v>6779.7</v>
      </c>
      <c r="K31" s="665">
        <v>33.33</v>
      </c>
      <c r="L31" s="655">
        <f t="shared" si="6"/>
        <v>203.41134113411343</v>
      </c>
      <c r="M31" s="666">
        <v>60</v>
      </c>
      <c r="N31" s="667">
        <f t="shared" si="7"/>
        <v>112.99499999999999</v>
      </c>
      <c r="O31" s="668">
        <f t="shared" ca="1" si="5"/>
        <v>208</v>
      </c>
      <c r="P31" s="655">
        <f t="shared" ca="1" si="8"/>
        <v>-16723.259999999998</v>
      </c>
      <c r="Q31" s="667">
        <f t="shared" ca="1" si="4"/>
        <v>1</v>
      </c>
      <c r="R31" s="669" t="s">
        <v>20</v>
      </c>
    </row>
    <row r="32" spans="1:18" ht="69.75" customHeight="1" x14ac:dyDescent="0.25">
      <c r="B32" s="661">
        <v>39051</v>
      </c>
      <c r="C32" s="662" t="s">
        <v>2351</v>
      </c>
      <c r="D32" s="669" t="s">
        <v>81</v>
      </c>
      <c r="E32" s="651" t="s">
        <v>96</v>
      </c>
      <c r="F32" s="663" t="s">
        <v>97</v>
      </c>
      <c r="G32" s="651" t="s">
        <v>28</v>
      </c>
      <c r="H32" s="651" t="s">
        <v>67</v>
      </c>
      <c r="I32" s="651" t="s">
        <v>68</v>
      </c>
      <c r="J32" s="664">
        <v>3472.8</v>
      </c>
      <c r="K32" s="665">
        <v>33.33</v>
      </c>
      <c r="L32" s="655">
        <f t="shared" si="6"/>
        <v>104.19441944194421</v>
      </c>
      <c r="M32" s="666">
        <v>60</v>
      </c>
      <c r="N32" s="667">
        <f t="shared" si="7"/>
        <v>57.88</v>
      </c>
      <c r="O32" s="668">
        <f t="shared" ca="1" si="5"/>
        <v>208</v>
      </c>
      <c r="P32" s="655">
        <f t="shared" ca="1" si="8"/>
        <v>-8566.2400000000016</v>
      </c>
      <c r="Q32" s="667">
        <f t="shared" ca="1" si="4"/>
        <v>1</v>
      </c>
      <c r="R32" s="669" t="s">
        <v>20</v>
      </c>
    </row>
    <row r="33" spans="2:18" ht="68.25" customHeight="1" x14ac:dyDescent="0.25">
      <c r="B33" s="661">
        <v>39051</v>
      </c>
      <c r="C33" s="662" t="s">
        <v>2351</v>
      </c>
      <c r="D33" s="669" t="s">
        <v>81</v>
      </c>
      <c r="E33" s="651" t="s">
        <v>98</v>
      </c>
      <c r="F33" s="663" t="s">
        <v>97</v>
      </c>
      <c r="G33" s="651" t="s">
        <v>28</v>
      </c>
      <c r="H33" s="651" t="s">
        <v>67</v>
      </c>
      <c r="I33" s="651" t="s">
        <v>68</v>
      </c>
      <c r="J33" s="664">
        <v>3472.8</v>
      </c>
      <c r="K33" s="665">
        <v>33.33</v>
      </c>
      <c r="L33" s="655">
        <f t="shared" si="6"/>
        <v>104.19441944194421</v>
      </c>
      <c r="M33" s="666">
        <v>60</v>
      </c>
      <c r="N33" s="667">
        <f t="shared" si="7"/>
        <v>57.88</v>
      </c>
      <c r="O33" s="668">
        <f t="shared" ca="1" si="5"/>
        <v>208</v>
      </c>
      <c r="P33" s="655">
        <f t="shared" ca="1" si="8"/>
        <v>-8566.2400000000016</v>
      </c>
      <c r="Q33" s="667">
        <f t="shared" ca="1" si="4"/>
        <v>1</v>
      </c>
      <c r="R33" s="669" t="s">
        <v>20</v>
      </c>
    </row>
    <row r="34" spans="2:18" ht="66.75" customHeight="1" x14ac:dyDescent="0.25">
      <c r="B34" s="661">
        <v>39051</v>
      </c>
      <c r="C34" s="662" t="s">
        <v>2351</v>
      </c>
      <c r="D34" s="669" t="s">
        <v>81</v>
      </c>
      <c r="E34" s="651" t="s">
        <v>99</v>
      </c>
      <c r="F34" s="663" t="s">
        <v>97</v>
      </c>
      <c r="G34" s="651" t="s">
        <v>28</v>
      </c>
      <c r="H34" s="651" t="s">
        <v>67</v>
      </c>
      <c r="I34" s="651" t="s">
        <v>68</v>
      </c>
      <c r="J34" s="664">
        <v>3472.8</v>
      </c>
      <c r="K34" s="665">
        <v>33.33</v>
      </c>
      <c r="L34" s="655">
        <f t="shared" si="6"/>
        <v>104.19441944194421</v>
      </c>
      <c r="M34" s="666">
        <v>60</v>
      </c>
      <c r="N34" s="667">
        <f t="shared" si="7"/>
        <v>57.88</v>
      </c>
      <c r="O34" s="668">
        <f t="shared" ca="1" si="5"/>
        <v>208</v>
      </c>
      <c r="P34" s="655">
        <f t="shared" ca="1" si="8"/>
        <v>-8566.2400000000016</v>
      </c>
      <c r="Q34" s="667">
        <f t="shared" ca="1" si="4"/>
        <v>1</v>
      </c>
      <c r="R34" s="669" t="s">
        <v>20</v>
      </c>
    </row>
    <row r="35" spans="2:18" ht="63.75" customHeight="1" x14ac:dyDescent="0.25">
      <c r="B35" s="661">
        <v>39051</v>
      </c>
      <c r="C35" s="662" t="s">
        <v>2351</v>
      </c>
      <c r="D35" s="669" t="s">
        <v>81</v>
      </c>
      <c r="E35" s="651" t="s">
        <v>100</v>
      </c>
      <c r="F35" s="663" t="s">
        <v>97</v>
      </c>
      <c r="G35" s="651" t="s">
        <v>28</v>
      </c>
      <c r="H35" s="651" t="s">
        <v>67</v>
      </c>
      <c r="I35" s="651" t="s">
        <v>68</v>
      </c>
      <c r="J35" s="664">
        <v>3472.8</v>
      </c>
      <c r="K35" s="665">
        <v>33.33</v>
      </c>
      <c r="L35" s="655">
        <f t="shared" si="6"/>
        <v>104.19441944194421</v>
      </c>
      <c r="M35" s="666">
        <v>60</v>
      </c>
      <c r="N35" s="667">
        <f t="shared" si="7"/>
        <v>57.88</v>
      </c>
      <c r="O35" s="668">
        <f t="shared" ca="1" si="5"/>
        <v>208</v>
      </c>
      <c r="P35" s="655">
        <f t="shared" ca="1" si="8"/>
        <v>-8566.2400000000016</v>
      </c>
      <c r="Q35" s="667">
        <f t="shared" ca="1" si="4"/>
        <v>1</v>
      </c>
      <c r="R35" s="669" t="s">
        <v>20</v>
      </c>
    </row>
    <row r="36" spans="2:18" ht="68.25" customHeight="1" x14ac:dyDescent="0.25">
      <c r="B36" s="661">
        <v>39051</v>
      </c>
      <c r="C36" s="662" t="s">
        <v>2351</v>
      </c>
      <c r="D36" s="669" t="s">
        <v>81</v>
      </c>
      <c r="E36" s="651" t="s">
        <v>101</v>
      </c>
      <c r="F36" s="663" t="s">
        <v>97</v>
      </c>
      <c r="G36" s="651" t="s">
        <v>28</v>
      </c>
      <c r="H36" s="651" t="s">
        <v>67</v>
      </c>
      <c r="I36" s="651" t="s">
        <v>68</v>
      </c>
      <c r="J36" s="664">
        <v>3472.8</v>
      </c>
      <c r="K36" s="665">
        <v>33.33</v>
      </c>
      <c r="L36" s="655">
        <f t="shared" si="6"/>
        <v>104.19441944194421</v>
      </c>
      <c r="M36" s="666">
        <v>60</v>
      </c>
      <c r="N36" s="667">
        <f t="shared" si="7"/>
        <v>57.88</v>
      </c>
      <c r="O36" s="668">
        <f t="shared" ca="1" si="5"/>
        <v>208</v>
      </c>
      <c r="P36" s="655">
        <f t="shared" ca="1" si="8"/>
        <v>-8566.2400000000016</v>
      </c>
      <c r="Q36" s="667">
        <f t="shared" ca="1" si="4"/>
        <v>1</v>
      </c>
      <c r="R36" s="669" t="s">
        <v>20</v>
      </c>
    </row>
    <row r="37" spans="2:18" ht="64.5" customHeight="1" x14ac:dyDescent="0.25">
      <c r="B37" s="661">
        <v>39051</v>
      </c>
      <c r="C37" s="662" t="s">
        <v>2351</v>
      </c>
      <c r="D37" s="669" t="s">
        <v>81</v>
      </c>
      <c r="E37" s="651" t="s">
        <v>102</v>
      </c>
      <c r="F37" s="663" t="s">
        <v>97</v>
      </c>
      <c r="G37" s="651" t="s">
        <v>28</v>
      </c>
      <c r="H37" s="651" t="s">
        <v>67</v>
      </c>
      <c r="I37" s="651" t="s">
        <v>68</v>
      </c>
      <c r="J37" s="664">
        <v>3472.8</v>
      </c>
      <c r="K37" s="665">
        <v>33.33</v>
      </c>
      <c r="L37" s="655">
        <f t="shared" si="6"/>
        <v>104.19441944194421</v>
      </c>
      <c r="M37" s="666">
        <v>60</v>
      </c>
      <c r="N37" s="667">
        <f t="shared" si="7"/>
        <v>57.88</v>
      </c>
      <c r="O37" s="668">
        <f t="shared" ca="1" si="5"/>
        <v>208</v>
      </c>
      <c r="P37" s="655">
        <f t="shared" ca="1" si="8"/>
        <v>-8566.2400000000016</v>
      </c>
      <c r="Q37" s="667">
        <f t="shared" ca="1" si="4"/>
        <v>1</v>
      </c>
      <c r="R37" s="669" t="s">
        <v>20</v>
      </c>
    </row>
    <row r="38" spans="2:18" ht="65.25" customHeight="1" x14ac:dyDescent="0.25">
      <c r="B38" s="661">
        <v>39051</v>
      </c>
      <c r="C38" s="662" t="s">
        <v>2351</v>
      </c>
      <c r="D38" s="669" t="s">
        <v>81</v>
      </c>
      <c r="E38" s="651" t="s">
        <v>103</v>
      </c>
      <c r="F38" s="663" t="s">
        <v>104</v>
      </c>
      <c r="G38" s="651" t="s">
        <v>28</v>
      </c>
      <c r="H38" s="651" t="s">
        <v>67</v>
      </c>
      <c r="I38" s="651" t="s">
        <v>68</v>
      </c>
      <c r="J38" s="664">
        <v>1690.4</v>
      </c>
      <c r="K38" s="665">
        <v>33.33</v>
      </c>
      <c r="L38" s="655">
        <f t="shared" si="6"/>
        <v>50.717071707170724</v>
      </c>
      <c r="M38" s="666">
        <v>60</v>
      </c>
      <c r="N38" s="667">
        <f t="shared" si="7"/>
        <v>28.173333333333336</v>
      </c>
      <c r="O38" s="668">
        <f t="shared" ca="1" si="5"/>
        <v>208</v>
      </c>
      <c r="P38" s="655">
        <f t="shared" ca="1" si="8"/>
        <v>-4169.6533333333336</v>
      </c>
      <c r="Q38" s="667">
        <f t="shared" ca="1" si="4"/>
        <v>1</v>
      </c>
      <c r="R38" s="669" t="s">
        <v>20</v>
      </c>
    </row>
    <row r="39" spans="2:18" ht="75" customHeight="1" x14ac:dyDescent="0.25">
      <c r="B39" s="661">
        <v>39051</v>
      </c>
      <c r="C39" s="662" t="s">
        <v>2351</v>
      </c>
      <c r="D39" s="669" t="s">
        <v>81</v>
      </c>
      <c r="E39" s="651" t="s">
        <v>105</v>
      </c>
      <c r="F39" s="663" t="s">
        <v>106</v>
      </c>
      <c r="G39" s="651" t="s">
        <v>28</v>
      </c>
      <c r="H39" s="651" t="s">
        <v>67</v>
      </c>
      <c r="I39" s="651" t="s">
        <v>68</v>
      </c>
      <c r="J39" s="664">
        <v>1708</v>
      </c>
      <c r="K39" s="665">
        <v>33.33</v>
      </c>
      <c r="L39" s="655">
        <f t="shared" si="6"/>
        <v>51.245124512451248</v>
      </c>
      <c r="M39" s="666">
        <v>60</v>
      </c>
      <c r="N39" s="667">
        <f t="shared" si="7"/>
        <v>28.466666666666665</v>
      </c>
      <c r="O39" s="668">
        <f t="shared" ca="1" si="5"/>
        <v>208</v>
      </c>
      <c r="P39" s="655">
        <f t="shared" ca="1" si="8"/>
        <v>-4213.0666666666666</v>
      </c>
      <c r="Q39" s="667">
        <f t="shared" ca="1" si="4"/>
        <v>1</v>
      </c>
      <c r="R39" s="669" t="s">
        <v>20</v>
      </c>
    </row>
    <row r="40" spans="2:18" ht="79.5" customHeight="1" x14ac:dyDescent="0.25">
      <c r="B40" s="661">
        <v>39051</v>
      </c>
      <c r="C40" s="662" t="s">
        <v>2351</v>
      </c>
      <c r="D40" s="669" t="s">
        <v>81</v>
      </c>
      <c r="E40" s="651" t="s">
        <v>107</v>
      </c>
      <c r="F40" s="663" t="s">
        <v>106</v>
      </c>
      <c r="G40" s="651" t="s">
        <v>28</v>
      </c>
      <c r="H40" s="651" t="s">
        <v>67</v>
      </c>
      <c r="I40" s="651" t="s">
        <v>68</v>
      </c>
      <c r="J40" s="664">
        <v>1708</v>
      </c>
      <c r="K40" s="665">
        <v>33.33</v>
      </c>
      <c r="L40" s="655">
        <f t="shared" si="6"/>
        <v>51.245124512451248</v>
      </c>
      <c r="M40" s="666">
        <v>60</v>
      </c>
      <c r="N40" s="667">
        <f t="shared" si="7"/>
        <v>28.466666666666665</v>
      </c>
      <c r="O40" s="668">
        <f t="shared" ca="1" si="5"/>
        <v>208</v>
      </c>
      <c r="P40" s="655">
        <f t="shared" ca="1" si="8"/>
        <v>-4213.0666666666666</v>
      </c>
      <c r="Q40" s="667">
        <f t="shared" ca="1" si="4"/>
        <v>1</v>
      </c>
      <c r="R40" s="669" t="s">
        <v>20</v>
      </c>
    </row>
    <row r="41" spans="2:18" ht="57" customHeight="1" x14ac:dyDescent="0.25">
      <c r="B41" s="661">
        <v>39051</v>
      </c>
      <c r="C41" s="662" t="s">
        <v>2351</v>
      </c>
      <c r="D41" s="669" t="s">
        <v>81</v>
      </c>
      <c r="E41" s="651" t="s">
        <v>108</v>
      </c>
      <c r="F41" s="663" t="s">
        <v>109</v>
      </c>
      <c r="G41" s="651" t="s">
        <v>28</v>
      </c>
      <c r="H41" s="651" t="s">
        <v>67</v>
      </c>
      <c r="I41" s="651" t="s">
        <v>68</v>
      </c>
      <c r="J41" s="664">
        <v>4512</v>
      </c>
      <c r="K41" s="665">
        <v>33.33</v>
      </c>
      <c r="L41" s="655">
        <f t="shared" si="6"/>
        <v>135.37353735373537</v>
      </c>
      <c r="M41" s="666">
        <v>60</v>
      </c>
      <c r="N41" s="667">
        <f t="shared" si="7"/>
        <v>75.2</v>
      </c>
      <c r="O41" s="668">
        <f t="shared" ca="1" si="5"/>
        <v>208</v>
      </c>
      <c r="P41" s="655">
        <f t="shared" ca="1" si="8"/>
        <v>-11129.6</v>
      </c>
      <c r="Q41" s="667">
        <f t="shared" ca="1" si="4"/>
        <v>1</v>
      </c>
      <c r="R41" s="669" t="s">
        <v>20</v>
      </c>
    </row>
    <row r="42" spans="2:18" ht="51.75" customHeight="1" x14ac:dyDescent="0.25">
      <c r="B42" s="661">
        <v>39051</v>
      </c>
      <c r="C42" s="662" t="s">
        <v>2351</v>
      </c>
      <c r="D42" s="669" t="s">
        <v>81</v>
      </c>
      <c r="E42" s="651" t="s">
        <v>110</v>
      </c>
      <c r="F42" s="663" t="s">
        <v>109</v>
      </c>
      <c r="G42" s="651" t="s">
        <v>28</v>
      </c>
      <c r="H42" s="651" t="s">
        <v>67</v>
      </c>
      <c r="I42" s="651" t="s">
        <v>68</v>
      </c>
      <c r="J42" s="664">
        <v>4512</v>
      </c>
      <c r="K42" s="665">
        <v>33.33</v>
      </c>
      <c r="L42" s="655">
        <f t="shared" si="6"/>
        <v>135.37353735373537</v>
      </c>
      <c r="M42" s="666">
        <v>60</v>
      </c>
      <c r="N42" s="667">
        <f t="shared" si="7"/>
        <v>75.2</v>
      </c>
      <c r="O42" s="668">
        <f t="shared" ca="1" si="5"/>
        <v>208</v>
      </c>
      <c r="P42" s="655">
        <f t="shared" ca="1" si="8"/>
        <v>-11129.6</v>
      </c>
      <c r="Q42" s="667">
        <f t="shared" ca="1" si="4"/>
        <v>1</v>
      </c>
      <c r="R42" s="669" t="s">
        <v>20</v>
      </c>
    </row>
    <row r="43" spans="2:18" ht="55.5" customHeight="1" x14ac:dyDescent="0.25">
      <c r="B43" s="661">
        <v>39051</v>
      </c>
      <c r="C43" s="662" t="s">
        <v>2351</v>
      </c>
      <c r="D43" s="669" t="s">
        <v>81</v>
      </c>
      <c r="E43" s="651" t="s">
        <v>111</v>
      </c>
      <c r="F43" s="663" t="s">
        <v>109</v>
      </c>
      <c r="G43" s="651" t="s">
        <v>28</v>
      </c>
      <c r="H43" s="651" t="s">
        <v>67</v>
      </c>
      <c r="I43" s="651" t="s">
        <v>68</v>
      </c>
      <c r="J43" s="664">
        <v>4512</v>
      </c>
      <c r="K43" s="665">
        <v>33.33</v>
      </c>
      <c r="L43" s="655">
        <f t="shared" si="6"/>
        <v>135.37353735373537</v>
      </c>
      <c r="M43" s="666">
        <v>60</v>
      </c>
      <c r="N43" s="667">
        <f t="shared" si="7"/>
        <v>75.2</v>
      </c>
      <c r="O43" s="668">
        <f t="shared" ca="1" si="5"/>
        <v>208</v>
      </c>
      <c r="P43" s="655">
        <f t="shared" ca="1" si="8"/>
        <v>-11129.6</v>
      </c>
      <c r="Q43" s="667">
        <f t="shared" ca="1" si="4"/>
        <v>1</v>
      </c>
      <c r="R43" s="669" t="s">
        <v>20</v>
      </c>
    </row>
    <row r="44" spans="2:18" ht="57" customHeight="1" x14ac:dyDescent="0.25">
      <c r="B44" s="661">
        <v>39051</v>
      </c>
      <c r="C44" s="662" t="s">
        <v>2351</v>
      </c>
      <c r="D44" s="669" t="s">
        <v>81</v>
      </c>
      <c r="E44" s="651" t="s">
        <v>112</v>
      </c>
      <c r="F44" s="663" t="s">
        <v>109</v>
      </c>
      <c r="G44" s="651" t="s">
        <v>28</v>
      </c>
      <c r="H44" s="651" t="s">
        <v>67</v>
      </c>
      <c r="I44" s="651" t="s">
        <v>68</v>
      </c>
      <c r="J44" s="664">
        <v>4512</v>
      </c>
      <c r="K44" s="665">
        <v>33.33</v>
      </c>
      <c r="L44" s="655">
        <f t="shared" si="6"/>
        <v>135.37353735373537</v>
      </c>
      <c r="M44" s="666">
        <v>60</v>
      </c>
      <c r="N44" s="667">
        <f t="shared" si="7"/>
        <v>75.2</v>
      </c>
      <c r="O44" s="668">
        <f t="shared" ca="1" si="5"/>
        <v>208</v>
      </c>
      <c r="P44" s="655">
        <f t="shared" ca="1" si="8"/>
        <v>-11129.6</v>
      </c>
      <c r="Q44" s="667">
        <f t="shared" ca="1" si="4"/>
        <v>1</v>
      </c>
      <c r="R44" s="669" t="s">
        <v>20</v>
      </c>
    </row>
    <row r="45" spans="2:18" ht="51" customHeight="1" x14ac:dyDescent="0.25">
      <c r="B45" s="661">
        <v>39051</v>
      </c>
      <c r="C45" s="662" t="s">
        <v>2351</v>
      </c>
      <c r="D45" s="669" t="s">
        <v>81</v>
      </c>
      <c r="E45" s="651" t="s">
        <v>113</v>
      </c>
      <c r="F45" s="663" t="s">
        <v>109</v>
      </c>
      <c r="G45" s="651" t="s">
        <v>28</v>
      </c>
      <c r="H45" s="651" t="s">
        <v>67</v>
      </c>
      <c r="I45" s="651" t="s">
        <v>68</v>
      </c>
      <c r="J45" s="664">
        <v>4512</v>
      </c>
      <c r="K45" s="665">
        <v>33.33</v>
      </c>
      <c r="L45" s="655">
        <f t="shared" si="6"/>
        <v>135.37353735373537</v>
      </c>
      <c r="M45" s="666">
        <v>60</v>
      </c>
      <c r="N45" s="667">
        <f t="shared" si="7"/>
        <v>75.2</v>
      </c>
      <c r="O45" s="668">
        <f t="shared" ca="1" si="5"/>
        <v>208</v>
      </c>
      <c r="P45" s="655">
        <f t="shared" ca="1" si="8"/>
        <v>-11129.6</v>
      </c>
      <c r="Q45" s="667">
        <f t="shared" ca="1" si="4"/>
        <v>1</v>
      </c>
      <c r="R45" s="669" t="s">
        <v>20</v>
      </c>
    </row>
    <row r="46" spans="2:18" ht="81.75" customHeight="1" x14ac:dyDescent="0.25">
      <c r="B46" s="661">
        <v>39051</v>
      </c>
      <c r="C46" s="662" t="s">
        <v>2351</v>
      </c>
      <c r="D46" s="669" t="s">
        <v>81</v>
      </c>
      <c r="E46" s="651" t="s">
        <v>114</v>
      </c>
      <c r="F46" s="663" t="s">
        <v>115</v>
      </c>
      <c r="G46" s="651" t="s">
        <v>28</v>
      </c>
      <c r="H46" s="651" t="s">
        <v>67</v>
      </c>
      <c r="I46" s="651" t="s">
        <v>68</v>
      </c>
      <c r="J46" s="664">
        <v>5026.3999999999996</v>
      </c>
      <c r="K46" s="665">
        <v>33.33</v>
      </c>
      <c r="L46" s="655">
        <f t="shared" si="6"/>
        <v>150.8070807080708</v>
      </c>
      <c r="M46" s="666">
        <v>60</v>
      </c>
      <c r="N46" s="667">
        <f t="shared" si="7"/>
        <v>83.773333333333326</v>
      </c>
      <c r="O46" s="668">
        <f t="shared" ca="1" si="5"/>
        <v>208</v>
      </c>
      <c r="P46" s="655">
        <f t="shared" ca="1" si="8"/>
        <v>-12398.453333333333</v>
      </c>
      <c r="Q46" s="667">
        <f t="shared" ca="1" si="4"/>
        <v>1</v>
      </c>
      <c r="R46" s="669" t="s">
        <v>20</v>
      </c>
    </row>
    <row r="47" spans="2:18" ht="72.75" customHeight="1" x14ac:dyDescent="0.25">
      <c r="B47" s="661">
        <v>39051</v>
      </c>
      <c r="C47" s="662" t="s">
        <v>2351</v>
      </c>
      <c r="D47" s="669" t="s">
        <v>81</v>
      </c>
      <c r="E47" s="651" t="s">
        <v>116</v>
      </c>
      <c r="F47" s="663" t="s">
        <v>115</v>
      </c>
      <c r="G47" s="651" t="s">
        <v>28</v>
      </c>
      <c r="H47" s="651" t="s">
        <v>67</v>
      </c>
      <c r="I47" s="651" t="s">
        <v>68</v>
      </c>
      <c r="J47" s="664">
        <v>5026.3999999999996</v>
      </c>
      <c r="K47" s="665">
        <v>33.33</v>
      </c>
      <c r="L47" s="655">
        <f t="shared" si="6"/>
        <v>150.8070807080708</v>
      </c>
      <c r="M47" s="666">
        <v>60</v>
      </c>
      <c r="N47" s="667">
        <f t="shared" si="7"/>
        <v>83.773333333333326</v>
      </c>
      <c r="O47" s="668">
        <f t="shared" ca="1" si="5"/>
        <v>208</v>
      </c>
      <c r="P47" s="655">
        <f t="shared" ca="1" si="8"/>
        <v>-12398.453333333333</v>
      </c>
      <c r="Q47" s="667">
        <f t="shared" ca="1" si="4"/>
        <v>1</v>
      </c>
      <c r="R47" s="669" t="s">
        <v>20</v>
      </c>
    </row>
    <row r="48" spans="2:18" ht="58.5" customHeight="1" x14ac:dyDescent="0.25">
      <c r="B48" s="661">
        <v>39051</v>
      </c>
      <c r="C48" s="662" t="s">
        <v>2351</v>
      </c>
      <c r="D48" s="669" t="s">
        <v>81</v>
      </c>
      <c r="E48" s="651" t="s">
        <v>117</v>
      </c>
      <c r="F48" s="663" t="s">
        <v>118</v>
      </c>
      <c r="G48" s="651" t="s">
        <v>28</v>
      </c>
      <c r="H48" s="651" t="s">
        <v>67</v>
      </c>
      <c r="I48" s="651" t="s">
        <v>68</v>
      </c>
      <c r="J48" s="664">
        <v>6243.2</v>
      </c>
      <c r="K48" s="665">
        <v>33.33</v>
      </c>
      <c r="L48" s="655">
        <f t="shared" si="6"/>
        <v>187.31473147314733</v>
      </c>
      <c r="M48" s="666">
        <v>60</v>
      </c>
      <c r="N48" s="667">
        <f t="shared" si="7"/>
        <v>104.05333333333333</v>
      </c>
      <c r="O48" s="668">
        <f t="shared" ca="1" si="5"/>
        <v>208</v>
      </c>
      <c r="P48" s="655">
        <f t="shared" ca="1" si="8"/>
        <v>-15399.89333333333</v>
      </c>
      <c r="Q48" s="667">
        <f t="shared" ca="1" si="4"/>
        <v>1</v>
      </c>
      <c r="R48" s="669" t="s">
        <v>20</v>
      </c>
    </row>
    <row r="49" spans="2:18" ht="57" customHeight="1" x14ac:dyDescent="0.25">
      <c r="B49" s="661">
        <v>39051</v>
      </c>
      <c r="C49" s="662" t="s">
        <v>2351</v>
      </c>
      <c r="D49" s="669" t="s">
        <v>81</v>
      </c>
      <c r="E49" s="651" t="s">
        <v>119</v>
      </c>
      <c r="F49" s="663" t="s">
        <v>118</v>
      </c>
      <c r="G49" s="651" t="s">
        <v>28</v>
      </c>
      <c r="H49" s="651" t="s">
        <v>67</v>
      </c>
      <c r="I49" s="651" t="s">
        <v>68</v>
      </c>
      <c r="J49" s="664">
        <v>6243.2</v>
      </c>
      <c r="K49" s="665">
        <v>33.33</v>
      </c>
      <c r="L49" s="655">
        <f t="shared" si="6"/>
        <v>187.31473147314733</v>
      </c>
      <c r="M49" s="666">
        <v>60</v>
      </c>
      <c r="N49" s="667">
        <f t="shared" si="7"/>
        <v>104.05333333333333</v>
      </c>
      <c r="O49" s="668">
        <f t="shared" ca="1" si="5"/>
        <v>208</v>
      </c>
      <c r="P49" s="655">
        <f t="shared" ca="1" si="8"/>
        <v>-15399.89333333333</v>
      </c>
      <c r="Q49" s="667">
        <f t="shared" ca="1" si="4"/>
        <v>1</v>
      </c>
      <c r="R49" s="669" t="s">
        <v>20</v>
      </c>
    </row>
    <row r="50" spans="2:18" ht="62.25" customHeight="1" x14ac:dyDescent="0.25">
      <c r="B50" s="661">
        <v>39051</v>
      </c>
      <c r="C50" s="662" t="s">
        <v>2351</v>
      </c>
      <c r="D50" s="669" t="s">
        <v>81</v>
      </c>
      <c r="E50" s="651" t="s">
        <v>120</v>
      </c>
      <c r="F50" s="663" t="s">
        <v>118</v>
      </c>
      <c r="G50" s="651" t="s">
        <v>28</v>
      </c>
      <c r="H50" s="651" t="s">
        <v>67</v>
      </c>
      <c r="I50" s="651" t="s">
        <v>68</v>
      </c>
      <c r="J50" s="664">
        <v>6243.2</v>
      </c>
      <c r="K50" s="665">
        <v>33.33</v>
      </c>
      <c r="L50" s="655">
        <f t="shared" si="6"/>
        <v>187.31473147314733</v>
      </c>
      <c r="M50" s="666">
        <v>60</v>
      </c>
      <c r="N50" s="667">
        <f t="shared" si="7"/>
        <v>104.05333333333333</v>
      </c>
      <c r="O50" s="668">
        <f t="shared" ca="1" si="5"/>
        <v>208</v>
      </c>
      <c r="P50" s="655">
        <f t="shared" ca="1" si="8"/>
        <v>-15399.89333333333</v>
      </c>
      <c r="Q50" s="667">
        <f t="shared" ca="1" si="4"/>
        <v>1</v>
      </c>
      <c r="R50" s="669" t="s">
        <v>20</v>
      </c>
    </row>
    <row r="51" spans="2:18" ht="57" customHeight="1" x14ac:dyDescent="0.25">
      <c r="B51" s="661">
        <v>39051</v>
      </c>
      <c r="C51" s="662" t="s">
        <v>2351</v>
      </c>
      <c r="D51" s="669" t="s">
        <v>81</v>
      </c>
      <c r="E51" s="651" t="s">
        <v>121</v>
      </c>
      <c r="F51" s="663" t="s">
        <v>118</v>
      </c>
      <c r="G51" s="651" t="s">
        <v>28</v>
      </c>
      <c r="H51" s="651" t="s">
        <v>67</v>
      </c>
      <c r="I51" s="651" t="s">
        <v>68</v>
      </c>
      <c r="J51" s="664">
        <v>6243.2</v>
      </c>
      <c r="K51" s="665">
        <v>33.33</v>
      </c>
      <c r="L51" s="655">
        <f t="shared" si="6"/>
        <v>187.31473147314733</v>
      </c>
      <c r="M51" s="666">
        <v>60</v>
      </c>
      <c r="N51" s="667">
        <f t="shared" si="7"/>
        <v>104.05333333333333</v>
      </c>
      <c r="O51" s="668">
        <f t="shared" ca="1" si="5"/>
        <v>208</v>
      </c>
      <c r="P51" s="655">
        <f t="shared" ca="1" si="8"/>
        <v>-15399.89333333333</v>
      </c>
      <c r="Q51" s="667">
        <f t="shared" ca="1" si="4"/>
        <v>1</v>
      </c>
      <c r="R51" s="669" t="s">
        <v>20</v>
      </c>
    </row>
    <row r="52" spans="2:18" ht="39.950000000000003" customHeight="1" x14ac:dyDescent="0.25">
      <c r="B52" s="661">
        <v>39051</v>
      </c>
      <c r="C52" s="662" t="s">
        <v>2351</v>
      </c>
      <c r="D52" s="669" t="s">
        <v>81</v>
      </c>
      <c r="E52" s="651" t="s">
        <v>122</v>
      </c>
      <c r="F52" s="663" t="s">
        <v>123</v>
      </c>
      <c r="G52" s="651" t="s">
        <v>28</v>
      </c>
      <c r="H52" s="651" t="s">
        <v>67</v>
      </c>
      <c r="I52" s="651" t="s">
        <v>68</v>
      </c>
      <c r="J52" s="664">
        <v>394.4</v>
      </c>
      <c r="K52" s="665">
        <v>33.33</v>
      </c>
      <c r="L52" s="655">
        <f t="shared" si="6"/>
        <v>11.833183318331834</v>
      </c>
      <c r="M52" s="666">
        <v>60</v>
      </c>
      <c r="N52" s="667">
        <f t="shared" si="7"/>
        <v>6.5733333333333333</v>
      </c>
      <c r="O52" s="668">
        <f t="shared" ca="1" si="5"/>
        <v>208</v>
      </c>
      <c r="P52" s="655">
        <f t="shared" ca="1" si="8"/>
        <v>-972.85333333333335</v>
      </c>
      <c r="Q52" s="667">
        <f t="shared" ca="1" si="4"/>
        <v>1</v>
      </c>
      <c r="R52" s="669" t="s">
        <v>20</v>
      </c>
    </row>
    <row r="53" spans="2:18" ht="39.950000000000003" customHeight="1" x14ac:dyDescent="0.25">
      <c r="B53" s="661">
        <v>39051</v>
      </c>
      <c r="C53" s="662" t="s">
        <v>2351</v>
      </c>
      <c r="D53" s="669" t="s">
        <v>81</v>
      </c>
      <c r="E53" s="651" t="s">
        <v>124</v>
      </c>
      <c r="F53" s="663" t="s">
        <v>123</v>
      </c>
      <c r="G53" s="651" t="s">
        <v>28</v>
      </c>
      <c r="H53" s="651" t="s">
        <v>67</v>
      </c>
      <c r="I53" s="651" t="s">
        <v>68</v>
      </c>
      <c r="J53" s="664">
        <v>394.4</v>
      </c>
      <c r="K53" s="665">
        <v>33.33</v>
      </c>
      <c r="L53" s="655">
        <f t="shared" si="6"/>
        <v>11.833183318331834</v>
      </c>
      <c r="M53" s="666">
        <v>60</v>
      </c>
      <c r="N53" s="667">
        <f t="shared" si="7"/>
        <v>6.5733333333333333</v>
      </c>
      <c r="O53" s="668">
        <f t="shared" ca="1" si="5"/>
        <v>208</v>
      </c>
      <c r="P53" s="655">
        <f t="shared" ca="1" si="8"/>
        <v>-972.85333333333335</v>
      </c>
      <c r="Q53" s="667">
        <f t="shared" ca="1" si="4"/>
        <v>1</v>
      </c>
      <c r="R53" s="669" t="s">
        <v>20</v>
      </c>
    </row>
    <row r="54" spans="2:18" ht="45" customHeight="1" x14ac:dyDescent="0.25">
      <c r="B54" s="661">
        <v>39051</v>
      </c>
      <c r="C54" s="662" t="s">
        <v>2351</v>
      </c>
      <c r="D54" s="669" t="s">
        <v>81</v>
      </c>
      <c r="E54" s="651" t="s">
        <v>125</v>
      </c>
      <c r="F54" s="663" t="s">
        <v>123</v>
      </c>
      <c r="G54" s="651" t="s">
        <v>28</v>
      </c>
      <c r="H54" s="651" t="s">
        <v>67</v>
      </c>
      <c r="I54" s="651" t="s">
        <v>68</v>
      </c>
      <c r="J54" s="664">
        <v>394.4</v>
      </c>
      <c r="K54" s="665">
        <v>33.33</v>
      </c>
      <c r="L54" s="655">
        <f t="shared" si="6"/>
        <v>11.833183318331834</v>
      </c>
      <c r="M54" s="666">
        <v>60</v>
      </c>
      <c r="N54" s="667">
        <f t="shared" si="7"/>
        <v>6.5733333333333333</v>
      </c>
      <c r="O54" s="668">
        <f t="shared" ca="1" si="5"/>
        <v>208</v>
      </c>
      <c r="P54" s="655">
        <f t="shared" ca="1" si="8"/>
        <v>-972.85333333333335</v>
      </c>
      <c r="Q54" s="667">
        <f t="shared" ca="1" si="4"/>
        <v>1</v>
      </c>
      <c r="R54" s="669" t="s">
        <v>20</v>
      </c>
    </row>
    <row r="55" spans="2:18" ht="39.950000000000003" customHeight="1" x14ac:dyDescent="0.25">
      <c r="B55" s="661">
        <v>39051</v>
      </c>
      <c r="C55" s="662" t="s">
        <v>2351</v>
      </c>
      <c r="D55" s="669" t="s">
        <v>81</v>
      </c>
      <c r="E55" s="651" t="s">
        <v>126</v>
      </c>
      <c r="F55" s="663" t="s">
        <v>123</v>
      </c>
      <c r="G55" s="651" t="s">
        <v>28</v>
      </c>
      <c r="H55" s="651" t="s">
        <v>67</v>
      </c>
      <c r="I55" s="651" t="s">
        <v>68</v>
      </c>
      <c r="J55" s="664">
        <v>394.4</v>
      </c>
      <c r="K55" s="665">
        <v>33.33</v>
      </c>
      <c r="L55" s="655">
        <f t="shared" si="6"/>
        <v>11.833183318331834</v>
      </c>
      <c r="M55" s="666">
        <v>60</v>
      </c>
      <c r="N55" s="667">
        <f t="shared" si="7"/>
        <v>6.5733333333333333</v>
      </c>
      <c r="O55" s="668">
        <f t="shared" ca="1" si="5"/>
        <v>208</v>
      </c>
      <c r="P55" s="655">
        <f t="shared" ca="1" si="8"/>
        <v>-972.85333333333335</v>
      </c>
      <c r="Q55" s="667">
        <f t="shared" ca="1" si="4"/>
        <v>1</v>
      </c>
      <c r="R55" s="669" t="s">
        <v>20</v>
      </c>
    </row>
    <row r="56" spans="2:18" ht="39.950000000000003" customHeight="1" x14ac:dyDescent="0.25">
      <c r="B56" s="661">
        <v>39051</v>
      </c>
      <c r="C56" s="662" t="s">
        <v>2351</v>
      </c>
      <c r="D56" s="669" t="s">
        <v>81</v>
      </c>
      <c r="E56" s="651" t="s">
        <v>127</v>
      </c>
      <c r="F56" s="663" t="s">
        <v>123</v>
      </c>
      <c r="G56" s="651" t="s">
        <v>28</v>
      </c>
      <c r="H56" s="651" t="s">
        <v>67</v>
      </c>
      <c r="I56" s="651" t="s">
        <v>68</v>
      </c>
      <c r="J56" s="664">
        <v>394.4</v>
      </c>
      <c r="K56" s="665">
        <v>33.33</v>
      </c>
      <c r="L56" s="655">
        <f t="shared" si="6"/>
        <v>11.833183318331834</v>
      </c>
      <c r="M56" s="666">
        <v>60</v>
      </c>
      <c r="N56" s="667">
        <f t="shared" si="7"/>
        <v>6.5733333333333333</v>
      </c>
      <c r="O56" s="668">
        <f t="shared" ca="1" si="5"/>
        <v>208</v>
      </c>
      <c r="P56" s="655">
        <f t="shared" ca="1" si="8"/>
        <v>-972.85333333333335</v>
      </c>
      <c r="Q56" s="667">
        <f t="shared" ca="1" si="4"/>
        <v>1</v>
      </c>
      <c r="R56" s="669" t="s">
        <v>20</v>
      </c>
    </row>
    <row r="57" spans="2:18" ht="53.25" customHeight="1" x14ac:dyDescent="0.25">
      <c r="B57" s="661">
        <v>39051</v>
      </c>
      <c r="C57" s="662" t="s">
        <v>2351</v>
      </c>
      <c r="D57" s="669" t="s">
        <v>81</v>
      </c>
      <c r="E57" s="651" t="s">
        <v>128</v>
      </c>
      <c r="F57" s="663" t="s">
        <v>129</v>
      </c>
      <c r="G57" s="651" t="s">
        <v>28</v>
      </c>
      <c r="H57" s="651" t="s">
        <v>67</v>
      </c>
      <c r="I57" s="651" t="s">
        <v>68</v>
      </c>
      <c r="J57" s="664">
        <v>2263.1999999999998</v>
      </c>
      <c r="K57" s="665">
        <v>33.33</v>
      </c>
      <c r="L57" s="655">
        <f t="shared" si="6"/>
        <v>67.902790279027897</v>
      </c>
      <c r="M57" s="666">
        <v>60</v>
      </c>
      <c r="N57" s="667">
        <f t="shared" si="7"/>
        <v>37.72</v>
      </c>
      <c r="O57" s="668">
        <f t="shared" ca="1" si="5"/>
        <v>208</v>
      </c>
      <c r="P57" s="655">
        <f t="shared" ca="1" si="8"/>
        <v>-5582.56</v>
      </c>
      <c r="Q57" s="667">
        <f t="shared" ca="1" si="4"/>
        <v>1</v>
      </c>
      <c r="R57" s="669" t="s">
        <v>20</v>
      </c>
    </row>
    <row r="58" spans="2:18" ht="53.25" customHeight="1" x14ac:dyDescent="0.25">
      <c r="B58" s="661">
        <v>39051</v>
      </c>
      <c r="C58" s="662" t="s">
        <v>2351</v>
      </c>
      <c r="D58" s="669" t="s">
        <v>81</v>
      </c>
      <c r="E58" s="651" t="s">
        <v>125</v>
      </c>
      <c r="F58" s="663" t="s">
        <v>130</v>
      </c>
      <c r="G58" s="651" t="s">
        <v>28</v>
      </c>
      <c r="H58" s="651" t="s">
        <v>67</v>
      </c>
      <c r="I58" s="651" t="s">
        <v>68</v>
      </c>
      <c r="J58" s="664">
        <v>7641.6</v>
      </c>
      <c r="K58" s="665">
        <v>33.33</v>
      </c>
      <c r="L58" s="655">
        <f t="shared" si="6"/>
        <v>229.27092709270929</v>
      </c>
      <c r="M58" s="666">
        <v>60</v>
      </c>
      <c r="N58" s="667">
        <f t="shared" si="7"/>
        <v>127.36</v>
      </c>
      <c r="O58" s="668">
        <f t="shared" ca="1" si="5"/>
        <v>208</v>
      </c>
      <c r="P58" s="655">
        <f t="shared" ca="1" si="8"/>
        <v>-18849.28</v>
      </c>
      <c r="Q58" s="667">
        <f t="shared" ca="1" si="4"/>
        <v>1</v>
      </c>
      <c r="R58" s="669" t="s">
        <v>20</v>
      </c>
    </row>
    <row r="59" spans="2:18" ht="50.25" customHeight="1" x14ac:dyDescent="0.25">
      <c r="B59" s="661">
        <v>39051</v>
      </c>
      <c r="C59" s="662" t="s">
        <v>2351</v>
      </c>
      <c r="D59" s="669" t="s">
        <v>81</v>
      </c>
      <c r="E59" s="651" t="s">
        <v>126</v>
      </c>
      <c r="F59" s="663" t="s">
        <v>131</v>
      </c>
      <c r="G59" s="651" t="s">
        <v>28</v>
      </c>
      <c r="H59" s="651" t="s">
        <v>67</v>
      </c>
      <c r="I59" s="651" t="s">
        <v>68</v>
      </c>
      <c r="J59" s="664">
        <v>2787.2</v>
      </c>
      <c r="K59" s="665">
        <v>33.33</v>
      </c>
      <c r="L59" s="655">
        <f t="shared" si="6"/>
        <v>83.624362436243629</v>
      </c>
      <c r="M59" s="666">
        <v>60</v>
      </c>
      <c r="N59" s="667">
        <f t="shared" si="7"/>
        <v>46.453333333333333</v>
      </c>
      <c r="O59" s="668">
        <f t="shared" ca="1" si="5"/>
        <v>208</v>
      </c>
      <c r="P59" s="655">
        <f t="shared" ca="1" si="8"/>
        <v>-6875.0933333333332</v>
      </c>
      <c r="Q59" s="667">
        <f t="shared" ca="1" si="4"/>
        <v>1</v>
      </c>
      <c r="R59" s="669" t="s">
        <v>20</v>
      </c>
    </row>
    <row r="60" spans="2:18" ht="54.75" customHeight="1" x14ac:dyDescent="0.25">
      <c r="B60" s="661">
        <v>39051</v>
      </c>
      <c r="C60" s="662" t="s">
        <v>2351</v>
      </c>
      <c r="D60" s="669" t="s">
        <v>81</v>
      </c>
      <c r="E60" s="651" t="s">
        <v>127</v>
      </c>
      <c r="F60" s="663" t="s">
        <v>132</v>
      </c>
      <c r="G60" s="651" t="s">
        <v>28</v>
      </c>
      <c r="H60" s="651" t="s">
        <v>67</v>
      </c>
      <c r="I60" s="651" t="s">
        <v>68</v>
      </c>
      <c r="J60" s="664">
        <v>5011.2</v>
      </c>
      <c r="K60" s="665">
        <v>33.33</v>
      </c>
      <c r="L60" s="655">
        <f t="shared" si="6"/>
        <v>150.35103510351036</v>
      </c>
      <c r="M60" s="666">
        <v>60</v>
      </c>
      <c r="N60" s="667">
        <f t="shared" si="7"/>
        <v>83.52</v>
      </c>
      <c r="O60" s="668">
        <f t="shared" ca="1" si="5"/>
        <v>208</v>
      </c>
      <c r="P60" s="655">
        <f t="shared" ca="1" si="8"/>
        <v>-12360.96</v>
      </c>
      <c r="Q60" s="667">
        <f t="shared" ca="1" si="4"/>
        <v>1</v>
      </c>
      <c r="R60" s="669" t="s">
        <v>20</v>
      </c>
    </row>
    <row r="61" spans="2:18" ht="67.5" customHeight="1" x14ac:dyDescent="0.25">
      <c r="B61" s="661">
        <v>39051</v>
      </c>
      <c r="C61" s="662" t="s">
        <v>2351</v>
      </c>
      <c r="D61" s="669" t="s">
        <v>81</v>
      </c>
      <c r="E61" s="651" t="s">
        <v>133</v>
      </c>
      <c r="F61" s="663" t="s">
        <v>134</v>
      </c>
      <c r="G61" s="651" t="s">
        <v>28</v>
      </c>
      <c r="H61" s="651" t="s">
        <v>67</v>
      </c>
      <c r="I61" s="651" t="s">
        <v>68</v>
      </c>
      <c r="J61" s="664">
        <v>2880</v>
      </c>
      <c r="K61" s="665">
        <v>33.33</v>
      </c>
      <c r="L61" s="655">
        <f t="shared" si="6"/>
        <v>86.408640864086408</v>
      </c>
      <c r="M61" s="666">
        <v>60</v>
      </c>
      <c r="N61" s="667">
        <f t="shared" si="7"/>
        <v>48</v>
      </c>
      <c r="O61" s="668">
        <f t="shared" ca="1" si="5"/>
        <v>208</v>
      </c>
      <c r="P61" s="655">
        <f t="shared" ca="1" si="8"/>
        <v>-7104</v>
      </c>
      <c r="Q61" s="667">
        <f t="shared" ca="1" si="4"/>
        <v>1</v>
      </c>
      <c r="R61" s="669" t="s">
        <v>20</v>
      </c>
    </row>
    <row r="62" spans="2:18" ht="39.950000000000003" customHeight="1" x14ac:dyDescent="0.25">
      <c r="B62" s="661">
        <v>39051</v>
      </c>
      <c r="C62" s="662" t="s">
        <v>2351</v>
      </c>
      <c r="D62" s="669" t="s">
        <v>81</v>
      </c>
      <c r="E62" s="651" t="s">
        <v>135</v>
      </c>
      <c r="F62" s="663" t="s">
        <v>134</v>
      </c>
      <c r="G62" s="651" t="s">
        <v>28</v>
      </c>
      <c r="H62" s="651" t="s">
        <v>67</v>
      </c>
      <c r="I62" s="651" t="s">
        <v>68</v>
      </c>
      <c r="J62" s="664">
        <v>2880</v>
      </c>
      <c r="K62" s="665">
        <v>33.33</v>
      </c>
      <c r="L62" s="655">
        <f t="shared" si="6"/>
        <v>86.408640864086408</v>
      </c>
      <c r="M62" s="666">
        <v>60</v>
      </c>
      <c r="N62" s="667">
        <f t="shared" si="7"/>
        <v>48</v>
      </c>
      <c r="O62" s="668">
        <f t="shared" ca="1" si="5"/>
        <v>208</v>
      </c>
      <c r="P62" s="655">
        <f t="shared" ca="1" si="8"/>
        <v>-7104</v>
      </c>
      <c r="Q62" s="667">
        <f t="shared" ca="1" si="4"/>
        <v>1</v>
      </c>
      <c r="R62" s="669" t="s">
        <v>20</v>
      </c>
    </row>
    <row r="63" spans="2:18" ht="39.950000000000003" customHeight="1" x14ac:dyDescent="0.25">
      <c r="B63" s="661">
        <v>39051</v>
      </c>
      <c r="C63" s="662" t="s">
        <v>2351</v>
      </c>
      <c r="D63" s="669" t="s">
        <v>81</v>
      </c>
      <c r="E63" s="651" t="s">
        <v>136</v>
      </c>
      <c r="F63" s="663" t="s">
        <v>134</v>
      </c>
      <c r="G63" s="651" t="s">
        <v>28</v>
      </c>
      <c r="H63" s="651" t="s">
        <v>67</v>
      </c>
      <c r="I63" s="651" t="s">
        <v>68</v>
      </c>
      <c r="J63" s="664">
        <v>2880</v>
      </c>
      <c r="K63" s="665">
        <v>33.33</v>
      </c>
      <c r="L63" s="655">
        <f t="shared" si="6"/>
        <v>86.408640864086408</v>
      </c>
      <c r="M63" s="666">
        <v>60</v>
      </c>
      <c r="N63" s="667">
        <f t="shared" si="7"/>
        <v>48</v>
      </c>
      <c r="O63" s="668">
        <f t="shared" ca="1" si="5"/>
        <v>208</v>
      </c>
      <c r="P63" s="655">
        <f t="shared" ca="1" si="8"/>
        <v>-7104</v>
      </c>
      <c r="Q63" s="667">
        <f t="shared" ca="1" si="4"/>
        <v>1</v>
      </c>
      <c r="R63" s="669" t="s">
        <v>20</v>
      </c>
    </row>
    <row r="64" spans="2:18" ht="39.950000000000003" customHeight="1" x14ac:dyDescent="0.25">
      <c r="B64" s="661">
        <v>39051</v>
      </c>
      <c r="C64" s="662" t="s">
        <v>2351</v>
      </c>
      <c r="D64" s="669" t="s">
        <v>81</v>
      </c>
      <c r="E64" s="651" t="s">
        <v>137</v>
      </c>
      <c r="F64" s="663" t="s">
        <v>134</v>
      </c>
      <c r="G64" s="651" t="s">
        <v>28</v>
      </c>
      <c r="H64" s="651" t="s">
        <v>67</v>
      </c>
      <c r="I64" s="651" t="s">
        <v>68</v>
      </c>
      <c r="J64" s="664">
        <v>2880</v>
      </c>
      <c r="K64" s="665">
        <v>33.33</v>
      </c>
      <c r="L64" s="655">
        <f t="shared" si="6"/>
        <v>86.408640864086408</v>
      </c>
      <c r="M64" s="666">
        <v>60</v>
      </c>
      <c r="N64" s="667">
        <f t="shared" si="7"/>
        <v>48</v>
      </c>
      <c r="O64" s="668">
        <f t="shared" ca="1" si="5"/>
        <v>208</v>
      </c>
      <c r="P64" s="655">
        <f t="shared" ca="1" si="8"/>
        <v>-7104</v>
      </c>
      <c r="Q64" s="667">
        <f t="shared" ca="1" si="4"/>
        <v>1</v>
      </c>
      <c r="R64" s="669" t="s">
        <v>20</v>
      </c>
    </row>
    <row r="65" spans="2:18" ht="39.950000000000003" customHeight="1" x14ac:dyDescent="0.25">
      <c r="B65" s="661">
        <v>39051</v>
      </c>
      <c r="C65" s="662" t="s">
        <v>2351</v>
      </c>
      <c r="D65" s="669" t="s">
        <v>81</v>
      </c>
      <c r="E65" s="651" t="s">
        <v>138</v>
      </c>
      <c r="F65" s="663" t="s">
        <v>139</v>
      </c>
      <c r="G65" s="651" t="s">
        <v>28</v>
      </c>
      <c r="H65" s="651" t="s">
        <v>67</v>
      </c>
      <c r="I65" s="651" t="s">
        <v>68</v>
      </c>
      <c r="J65" s="664">
        <v>4343.2</v>
      </c>
      <c r="K65" s="665">
        <v>33.33</v>
      </c>
      <c r="L65" s="655">
        <f t="shared" si="6"/>
        <v>130.3090309030903</v>
      </c>
      <c r="M65" s="666">
        <v>60</v>
      </c>
      <c r="N65" s="667">
        <f t="shared" si="7"/>
        <v>72.38666666666667</v>
      </c>
      <c r="O65" s="668">
        <f t="shared" ca="1" si="5"/>
        <v>208</v>
      </c>
      <c r="P65" s="655">
        <f t="shared" ca="1" si="8"/>
        <v>-10713.226666666669</v>
      </c>
      <c r="Q65" s="667">
        <f t="shared" ca="1" si="4"/>
        <v>1</v>
      </c>
      <c r="R65" s="669" t="s">
        <v>20</v>
      </c>
    </row>
    <row r="66" spans="2:18" ht="48.75" customHeight="1" x14ac:dyDescent="0.25">
      <c r="B66" s="661">
        <v>39051</v>
      </c>
      <c r="C66" s="662" t="s">
        <v>2351</v>
      </c>
      <c r="D66" s="669" t="s">
        <v>81</v>
      </c>
      <c r="E66" s="651" t="s">
        <v>140</v>
      </c>
      <c r="F66" s="663" t="s">
        <v>139</v>
      </c>
      <c r="G66" s="651" t="s">
        <v>28</v>
      </c>
      <c r="H66" s="651" t="s">
        <v>67</v>
      </c>
      <c r="I66" s="651" t="s">
        <v>68</v>
      </c>
      <c r="J66" s="664">
        <v>4343.2</v>
      </c>
      <c r="K66" s="665">
        <v>33.33</v>
      </c>
      <c r="L66" s="655">
        <f t="shared" si="6"/>
        <v>130.3090309030903</v>
      </c>
      <c r="M66" s="666">
        <v>60</v>
      </c>
      <c r="N66" s="667">
        <f t="shared" si="7"/>
        <v>72.38666666666667</v>
      </c>
      <c r="O66" s="668">
        <f t="shared" ca="1" si="5"/>
        <v>208</v>
      </c>
      <c r="P66" s="655">
        <f t="shared" ca="1" si="8"/>
        <v>-10713.226666666669</v>
      </c>
      <c r="Q66" s="667">
        <f t="shared" ca="1" si="4"/>
        <v>1</v>
      </c>
      <c r="R66" s="669" t="s">
        <v>20</v>
      </c>
    </row>
    <row r="67" spans="2:18" ht="51.75" customHeight="1" x14ac:dyDescent="0.25">
      <c r="B67" s="661">
        <v>39051</v>
      </c>
      <c r="C67" s="662" t="s">
        <v>2351</v>
      </c>
      <c r="D67" s="669" t="s">
        <v>81</v>
      </c>
      <c r="E67" s="651" t="s">
        <v>141</v>
      </c>
      <c r="F67" s="663" t="s">
        <v>139</v>
      </c>
      <c r="G67" s="651" t="s">
        <v>28</v>
      </c>
      <c r="H67" s="651" t="s">
        <v>67</v>
      </c>
      <c r="I67" s="651" t="s">
        <v>68</v>
      </c>
      <c r="J67" s="664">
        <v>4343.2</v>
      </c>
      <c r="K67" s="665">
        <v>33.33</v>
      </c>
      <c r="L67" s="655">
        <f t="shared" si="6"/>
        <v>130.3090309030903</v>
      </c>
      <c r="M67" s="666">
        <v>60</v>
      </c>
      <c r="N67" s="667">
        <f t="shared" si="7"/>
        <v>72.38666666666667</v>
      </c>
      <c r="O67" s="668">
        <f t="shared" ca="1" si="5"/>
        <v>208</v>
      </c>
      <c r="P67" s="655">
        <f t="shared" ca="1" si="8"/>
        <v>-10713.226666666669</v>
      </c>
      <c r="Q67" s="667">
        <f t="shared" ca="1" si="4"/>
        <v>1</v>
      </c>
      <c r="R67" s="669" t="s">
        <v>20</v>
      </c>
    </row>
    <row r="68" spans="2:18" ht="48.75" customHeight="1" x14ac:dyDescent="0.25">
      <c r="B68" s="661">
        <v>39051</v>
      </c>
      <c r="C68" s="662" t="s">
        <v>2351</v>
      </c>
      <c r="D68" s="669" t="s">
        <v>81</v>
      </c>
      <c r="E68" s="651" t="s">
        <v>122</v>
      </c>
      <c r="F68" s="663" t="s">
        <v>139</v>
      </c>
      <c r="G68" s="651" t="s">
        <v>28</v>
      </c>
      <c r="H68" s="651" t="s">
        <v>67</v>
      </c>
      <c r="I68" s="651" t="s">
        <v>68</v>
      </c>
      <c r="J68" s="664">
        <v>4343.2</v>
      </c>
      <c r="K68" s="665">
        <v>33.33</v>
      </c>
      <c r="L68" s="655">
        <f t="shared" si="6"/>
        <v>130.3090309030903</v>
      </c>
      <c r="M68" s="666">
        <v>60</v>
      </c>
      <c r="N68" s="667">
        <f t="shared" si="7"/>
        <v>72.38666666666667</v>
      </c>
      <c r="O68" s="668">
        <f t="shared" ca="1" si="5"/>
        <v>208</v>
      </c>
      <c r="P68" s="655">
        <f t="shared" ca="1" si="8"/>
        <v>-10713.226666666669</v>
      </c>
      <c r="Q68" s="667">
        <f t="shared" ca="1" si="4"/>
        <v>1</v>
      </c>
      <c r="R68" s="669" t="s">
        <v>20</v>
      </c>
    </row>
    <row r="69" spans="2:18" ht="53.25" customHeight="1" x14ac:dyDescent="0.25">
      <c r="B69" s="661">
        <v>39051</v>
      </c>
      <c r="C69" s="662" t="s">
        <v>2351</v>
      </c>
      <c r="D69" s="669" t="s">
        <v>81</v>
      </c>
      <c r="E69" s="651" t="s">
        <v>124</v>
      </c>
      <c r="F69" s="663" t="s">
        <v>139</v>
      </c>
      <c r="G69" s="651" t="s">
        <v>28</v>
      </c>
      <c r="H69" s="651" t="s">
        <v>67</v>
      </c>
      <c r="I69" s="651" t="s">
        <v>68</v>
      </c>
      <c r="J69" s="664">
        <v>4343.2</v>
      </c>
      <c r="K69" s="665">
        <v>33.33</v>
      </c>
      <c r="L69" s="655">
        <f t="shared" si="6"/>
        <v>130.3090309030903</v>
      </c>
      <c r="M69" s="666">
        <v>60</v>
      </c>
      <c r="N69" s="667">
        <f t="shared" si="7"/>
        <v>72.38666666666667</v>
      </c>
      <c r="O69" s="668">
        <f t="shared" ca="1" si="5"/>
        <v>208</v>
      </c>
      <c r="P69" s="655">
        <f t="shared" ca="1" si="8"/>
        <v>-10713.226666666669</v>
      </c>
      <c r="Q69" s="667">
        <f t="shared" ca="1" si="4"/>
        <v>1</v>
      </c>
      <c r="R69" s="669" t="s">
        <v>20</v>
      </c>
    </row>
    <row r="70" spans="2:18" ht="48" customHeight="1" x14ac:dyDescent="0.25">
      <c r="B70" s="661">
        <v>39051</v>
      </c>
      <c r="C70" s="662" t="s">
        <v>2351</v>
      </c>
      <c r="D70" s="669" t="s">
        <v>81</v>
      </c>
      <c r="E70" s="651" t="s">
        <v>125</v>
      </c>
      <c r="F70" s="663" t="s">
        <v>139</v>
      </c>
      <c r="G70" s="651" t="s">
        <v>28</v>
      </c>
      <c r="H70" s="651" t="s">
        <v>67</v>
      </c>
      <c r="I70" s="651" t="s">
        <v>68</v>
      </c>
      <c r="J70" s="664">
        <v>4343.2</v>
      </c>
      <c r="K70" s="665">
        <v>33.33</v>
      </c>
      <c r="L70" s="655">
        <f t="shared" si="6"/>
        <v>130.3090309030903</v>
      </c>
      <c r="M70" s="666">
        <v>60</v>
      </c>
      <c r="N70" s="667">
        <f t="shared" si="7"/>
        <v>72.38666666666667</v>
      </c>
      <c r="O70" s="668">
        <f t="shared" ca="1" si="5"/>
        <v>208</v>
      </c>
      <c r="P70" s="655">
        <f t="shared" ca="1" si="8"/>
        <v>-10713.226666666669</v>
      </c>
      <c r="Q70" s="667">
        <f t="shared" ca="1" si="4"/>
        <v>1</v>
      </c>
      <c r="R70" s="669" t="s">
        <v>20</v>
      </c>
    </row>
    <row r="71" spans="2:18" ht="57" customHeight="1" x14ac:dyDescent="0.25">
      <c r="B71" s="661">
        <v>39051</v>
      </c>
      <c r="C71" s="662" t="s">
        <v>2351</v>
      </c>
      <c r="D71" s="669" t="s">
        <v>81</v>
      </c>
      <c r="E71" s="651" t="s">
        <v>126</v>
      </c>
      <c r="F71" s="663" t="s">
        <v>139</v>
      </c>
      <c r="G71" s="651" t="s">
        <v>28</v>
      </c>
      <c r="H71" s="651" t="s">
        <v>67</v>
      </c>
      <c r="I71" s="651" t="s">
        <v>68</v>
      </c>
      <c r="J71" s="664">
        <v>4343.2</v>
      </c>
      <c r="K71" s="665">
        <v>33.33</v>
      </c>
      <c r="L71" s="655">
        <f t="shared" ref="L71:L130" si="9">+J71/K71</f>
        <v>130.3090309030903</v>
      </c>
      <c r="M71" s="666">
        <v>60</v>
      </c>
      <c r="N71" s="667">
        <f t="shared" ref="N71:N130" si="10">IF(AND(J71&lt;&gt;0,M71&lt;&gt;0),J71/M71,0)</f>
        <v>72.38666666666667</v>
      </c>
      <c r="O71" s="668">
        <f t="shared" ref="O71:O130" ca="1" si="11">IF(B71&lt;&gt;0,(ROUND((NOW()-B71)/30,0)),0)</f>
        <v>208</v>
      </c>
      <c r="P71" s="655">
        <f t="shared" ca="1" si="8"/>
        <v>-10713.226666666669</v>
      </c>
      <c r="Q71" s="667">
        <f t="shared" ca="1" si="4"/>
        <v>1</v>
      </c>
      <c r="R71" s="669" t="s">
        <v>20</v>
      </c>
    </row>
    <row r="72" spans="2:18" ht="55.5" customHeight="1" x14ac:dyDescent="0.25">
      <c r="B72" s="661">
        <v>39051</v>
      </c>
      <c r="C72" s="662" t="s">
        <v>2351</v>
      </c>
      <c r="D72" s="669" t="s">
        <v>81</v>
      </c>
      <c r="E72" s="651" t="s">
        <v>127</v>
      </c>
      <c r="F72" s="663" t="s">
        <v>139</v>
      </c>
      <c r="G72" s="651" t="s">
        <v>28</v>
      </c>
      <c r="H72" s="651" t="s">
        <v>67</v>
      </c>
      <c r="I72" s="651" t="s">
        <v>68</v>
      </c>
      <c r="J72" s="664">
        <v>4343.2</v>
      </c>
      <c r="K72" s="665">
        <v>33.33</v>
      </c>
      <c r="L72" s="655">
        <f t="shared" si="9"/>
        <v>130.3090309030903</v>
      </c>
      <c r="M72" s="666">
        <v>60</v>
      </c>
      <c r="N72" s="667">
        <f t="shared" si="10"/>
        <v>72.38666666666667</v>
      </c>
      <c r="O72" s="668">
        <f t="shared" ca="1" si="11"/>
        <v>208</v>
      </c>
      <c r="P72" s="655">
        <f t="shared" ref="P72:P131" ca="1" si="12">IF(OR(J72=0,M72=0,O72=0),0,J72-(N72*O72))</f>
        <v>-10713.226666666669</v>
      </c>
      <c r="Q72" s="667">
        <f t="shared" ref="Q72:Q135" ca="1" si="13">IF(P72&lt;1,1,P72)</f>
        <v>1</v>
      </c>
      <c r="R72" s="669" t="s">
        <v>20</v>
      </c>
    </row>
    <row r="73" spans="2:18" ht="51" customHeight="1" x14ac:dyDescent="0.25">
      <c r="B73" s="661">
        <v>39051</v>
      </c>
      <c r="C73" s="662" t="s">
        <v>2351</v>
      </c>
      <c r="D73" s="669" t="s">
        <v>81</v>
      </c>
      <c r="E73" s="651" t="s">
        <v>142</v>
      </c>
      <c r="F73" s="663" t="s">
        <v>143</v>
      </c>
      <c r="G73" s="651" t="s">
        <v>28</v>
      </c>
      <c r="H73" s="651" t="s">
        <v>67</v>
      </c>
      <c r="I73" s="651" t="s">
        <v>68</v>
      </c>
      <c r="J73" s="664">
        <v>921.6</v>
      </c>
      <c r="K73" s="665">
        <v>33.33</v>
      </c>
      <c r="L73" s="655">
        <f t="shared" si="9"/>
        <v>27.650765076507653</v>
      </c>
      <c r="M73" s="666">
        <v>60</v>
      </c>
      <c r="N73" s="667">
        <f t="shared" si="10"/>
        <v>15.360000000000001</v>
      </c>
      <c r="O73" s="668">
        <f t="shared" ca="1" si="11"/>
        <v>208</v>
      </c>
      <c r="P73" s="655">
        <f t="shared" ca="1" si="12"/>
        <v>-2273.2800000000002</v>
      </c>
      <c r="Q73" s="667">
        <f t="shared" ca="1" si="13"/>
        <v>1</v>
      </c>
      <c r="R73" s="669" t="s">
        <v>20</v>
      </c>
    </row>
    <row r="74" spans="2:18" ht="63.75" customHeight="1" x14ac:dyDescent="0.25">
      <c r="B74" s="661">
        <v>39051</v>
      </c>
      <c r="C74" s="662" t="s">
        <v>2351</v>
      </c>
      <c r="D74" s="669" t="s">
        <v>81</v>
      </c>
      <c r="E74" s="651" t="s">
        <v>144</v>
      </c>
      <c r="F74" s="663" t="s">
        <v>143</v>
      </c>
      <c r="G74" s="651" t="s">
        <v>28</v>
      </c>
      <c r="H74" s="651" t="s">
        <v>67</v>
      </c>
      <c r="I74" s="651" t="s">
        <v>68</v>
      </c>
      <c r="J74" s="664">
        <v>921.6</v>
      </c>
      <c r="K74" s="665">
        <v>33.33</v>
      </c>
      <c r="L74" s="655">
        <f t="shared" si="9"/>
        <v>27.650765076507653</v>
      </c>
      <c r="M74" s="666">
        <v>60</v>
      </c>
      <c r="N74" s="667">
        <f t="shared" si="10"/>
        <v>15.360000000000001</v>
      </c>
      <c r="O74" s="668">
        <f t="shared" ca="1" si="11"/>
        <v>208</v>
      </c>
      <c r="P74" s="655">
        <f t="shared" ca="1" si="12"/>
        <v>-2273.2800000000002</v>
      </c>
      <c r="Q74" s="667">
        <f t="shared" ca="1" si="13"/>
        <v>1</v>
      </c>
      <c r="R74" s="669" t="s">
        <v>20</v>
      </c>
    </row>
    <row r="75" spans="2:18" ht="39.950000000000003" customHeight="1" x14ac:dyDescent="0.25">
      <c r="B75" s="661">
        <v>39051</v>
      </c>
      <c r="C75" s="662" t="s">
        <v>2351</v>
      </c>
      <c r="D75" s="669" t="s">
        <v>81</v>
      </c>
      <c r="E75" s="651" t="s">
        <v>145</v>
      </c>
      <c r="F75" s="663" t="s">
        <v>143</v>
      </c>
      <c r="G75" s="651" t="s">
        <v>28</v>
      </c>
      <c r="H75" s="651" t="s">
        <v>67</v>
      </c>
      <c r="I75" s="651" t="s">
        <v>68</v>
      </c>
      <c r="J75" s="664">
        <v>921.6</v>
      </c>
      <c r="K75" s="665">
        <v>33.33</v>
      </c>
      <c r="L75" s="655">
        <f t="shared" si="9"/>
        <v>27.650765076507653</v>
      </c>
      <c r="M75" s="666">
        <v>60</v>
      </c>
      <c r="N75" s="667">
        <f t="shared" si="10"/>
        <v>15.360000000000001</v>
      </c>
      <c r="O75" s="668">
        <f t="shared" ca="1" si="11"/>
        <v>208</v>
      </c>
      <c r="P75" s="655">
        <f t="shared" ca="1" si="12"/>
        <v>-2273.2800000000002</v>
      </c>
      <c r="Q75" s="667">
        <f t="shared" ca="1" si="13"/>
        <v>1</v>
      </c>
      <c r="R75" s="669" t="s">
        <v>20</v>
      </c>
    </row>
    <row r="76" spans="2:18" ht="62.25" customHeight="1" x14ac:dyDescent="0.25">
      <c r="B76" s="661">
        <v>39051</v>
      </c>
      <c r="C76" s="662" t="s">
        <v>2351</v>
      </c>
      <c r="D76" s="669" t="s">
        <v>81</v>
      </c>
      <c r="E76" s="651" t="s">
        <v>146</v>
      </c>
      <c r="F76" s="663" t="s">
        <v>143</v>
      </c>
      <c r="G76" s="651" t="s">
        <v>28</v>
      </c>
      <c r="H76" s="651" t="s">
        <v>67</v>
      </c>
      <c r="I76" s="651" t="s">
        <v>68</v>
      </c>
      <c r="J76" s="664">
        <v>921.6</v>
      </c>
      <c r="K76" s="665">
        <v>33.33</v>
      </c>
      <c r="L76" s="655">
        <f t="shared" si="9"/>
        <v>27.650765076507653</v>
      </c>
      <c r="M76" s="666">
        <v>60</v>
      </c>
      <c r="N76" s="667">
        <f t="shared" si="10"/>
        <v>15.360000000000001</v>
      </c>
      <c r="O76" s="668">
        <f t="shared" ca="1" si="11"/>
        <v>208</v>
      </c>
      <c r="P76" s="655">
        <f t="shared" ca="1" si="12"/>
        <v>-2273.2800000000002</v>
      </c>
      <c r="Q76" s="667">
        <f t="shared" ca="1" si="13"/>
        <v>1</v>
      </c>
      <c r="R76" s="669" t="s">
        <v>20</v>
      </c>
    </row>
    <row r="77" spans="2:18" ht="63.75" customHeight="1" x14ac:dyDescent="0.25">
      <c r="B77" s="661">
        <v>39051</v>
      </c>
      <c r="C77" s="662" t="s">
        <v>2351</v>
      </c>
      <c r="D77" s="669" t="s">
        <v>81</v>
      </c>
      <c r="E77" s="651" t="s">
        <v>147</v>
      </c>
      <c r="F77" s="663" t="s">
        <v>143</v>
      </c>
      <c r="G77" s="651" t="s">
        <v>28</v>
      </c>
      <c r="H77" s="651" t="s">
        <v>67</v>
      </c>
      <c r="I77" s="651" t="s">
        <v>68</v>
      </c>
      <c r="J77" s="664">
        <v>921.6</v>
      </c>
      <c r="K77" s="665">
        <v>33.33</v>
      </c>
      <c r="L77" s="655">
        <f t="shared" si="9"/>
        <v>27.650765076507653</v>
      </c>
      <c r="M77" s="666">
        <v>60</v>
      </c>
      <c r="N77" s="667">
        <f t="shared" si="10"/>
        <v>15.360000000000001</v>
      </c>
      <c r="O77" s="668">
        <f t="shared" ca="1" si="11"/>
        <v>208</v>
      </c>
      <c r="P77" s="655">
        <f t="shared" ca="1" si="12"/>
        <v>-2273.2800000000002</v>
      </c>
      <c r="Q77" s="667">
        <f t="shared" ca="1" si="13"/>
        <v>1</v>
      </c>
      <c r="R77" s="669" t="s">
        <v>20</v>
      </c>
    </row>
    <row r="78" spans="2:18" ht="65.25" customHeight="1" x14ac:dyDescent="0.25">
      <c r="B78" s="661">
        <v>39051</v>
      </c>
      <c r="C78" s="662" t="s">
        <v>2351</v>
      </c>
      <c r="D78" s="669" t="s">
        <v>81</v>
      </c>
      <c r="E78" s="651" t="s">
        <v>148</v>
      </c>
      <c r="F78" s="663" t="s">
        <v>143</v>
      </c>
      <c r="G78" s="651" t="s">
        <v>28</v>
      </c>
      <c r="H78" s="651" t="s">
        <v>67</v>
      </c>
      <c r="I78" s="651" t="s">
        <v>68</v>
      </c>
      <c r="J78" s="664">
        <v>921.6</v>
      </c>
      <c r="K78" s="665">
        <v>33.33</v>
      </c>
      <c r="L78" s="655">
        <f t="shared" si="9"/>
        <v>27.650765076507653</v>
      </c>
      <c r="M78" s="666">
        <v>60</v>
      </c>
      <c r="N78" s="667">
        <f t="shared" si="10"/>
        <v>15.360000000000001</v>
      </c>
      <c r="O78" s="668">
        <f t="shared" ca="1" si="11"/>
        <v>208</v>
      </c>
      <c r="P78" s="655">
        <f t="shared" ca="1" si="12"/>
        <v>-2273.2800000000002</v>
      </c>
      <c r="Q78" s="667">
        <f t="shared" ca="1" si="13"/>
        <v>1</v>
      </c>
      <c r="R78" s="669" t="s">
        <v>20</v>
      </c>
    </row>
    <row r="79" spans="2:18" ht="65.25" customHeight="1" x14ac:dyDescent="0.25">
      <c r="B79" s="661">
        <v>39051</v>
      </c>
      <c r="C79" s="662" t="s">
        <v>2351</v>
      </c>
      <c r="D79" s="669" t="s">
        <v>81</v>
      </c>
      <c r="E79" s="651" t="s">
        <v>149</v>
      </c>
      <c r="F79" s="663" t="s">
        <v>143</v>
      </c>
      <c r="G79" s="651" t="s">
        <v>28</v>
      </c>
      <c r="H79" s="651" t="s">
        <v>67</v>
      </c>
      <c r="I79" s="651" t="s">
        <v>68</v>
      </c>
      <c r="J79" s="664">
        <v>921.6</v>
      </c>
      <c r="K79" s="665">
        <v>33.33</v>
      </c>
      <c r="L79" s="655">
        <f t="shared" si="9"/>
        <v>27.650765076507653</v>
      </c>
      <c r="M79" s="666">
        <v>60</v>
      </c>
      <c r="N79" s="667">
        <f t="shared" si="10"/>
        <v>15.360000000000001</v>
      </c>
      <c r="O79" s="668">
        <f t="shared" ca="1" si="11"/>
        <v>208</v>
      </c>
      <c r="P79" s="655">
        <f t="shared" ca="1" si="12"/>
        <v>-2273.2800000000002</v>
      </c>
      <c r="Q79" s="667">
        <f t="shared" ca="1" si="13"/>
        <v>1</v>
      </c>
      <c r="R79" s="669" t="s">
        <v>20</v>
      </c>
    </row>
    <row r="80" spans="2:18" ht="66.75" customHeight="1" x14ac:dyDescent="0.25">
      <c r="B80" s="661">
        <v>39051</v>
      </c>
      <c r="C80" s="662" t="s">
        <v>2351</v>
      </c>
      <c r="D80" s="669" t="s">
        <v>81</v>
      </c>
      <c r="E80" s="651" t="s">
        <v>150</v>
      </c>
      <c r="F80" s="663" t="s">
        <v>143</v>
      </c>
      <c r="G80" s="651" t="s">
        <v>28</v>
      </c>
      <c r="H80" s="651" t="s">
        <v>67</v>
      </c>
      <c r="I80" s="651" t="s">
        <v>68</v>
      </c>
      <c r="J80" s="664">
        <v>921.6</v>
      </c>
      <c r="K80" s="665">
        <v>33.33</v>
      </c>
      <c r="L80" s="655">
        <f t="shared" si="9"/>
        <v>27.650765076507653</v>
      </c>
      <c r="M80" s="666">
        <v>60</v>
      </c>
      <c r="N80" s="667">
        <f t="shared" si="10"/>
        <v>15.360000000000001</v>
      </c>
      <c r="O80" s="668">
        <f t="shared" ca="1" si="11"/>
        <v>208</v>
      </c>
      <c r="P80" s="655">
        <f t="shared" ca="1" si="12"/>
        <v>-2273.2800000000002</v>
      </c>
      <c r="Q80" s="667">
        <f t="shared" ca="1" si="13"/>
        <v>1</v>
      </c>
      <c r="R80" s="669" t="s">
        <v>20</v>
      </c>
    </row>
    <row r="81" spans="2:18" ht="57" x14ac:dyDescent="0.25">
      <c r="B81" s="661">
        <v>39051</v>
      </c>
      <c r="C81" s="662" t="s">
        <v>2351</v>
      </c>
      <c r="D81" s="669" t="s">
        <v>81</v>
      </c>
      <c r="E81" s="651" t="s">
        <v>151</v>
      </c>
      <c r="F81" s="663" t="s">
        <v>143</v>
      </c>
      <c r="G81" s="651" t="s">
        <v>28</v>
      </c>
      <c r="H81" s="651" t="s">
        <v>67</v>
      </c>
      <c r="I81" s="651" t="s">
        <v>68</v>
      </c>
      <c r="J81" s="664">
        <v>921.6</v>
      </c>
      <c r="K81" s="665">
        <v>33.33</v>
      </c>
      <c r="L81" s="655">
        <f t="shared" si="9"/>
        <v>27.650765076507653</v>
      </c>
      <c r="M81" s="666">
        <v>60</v>
      </c>
      <c r="N81" s="667">
        <f t="shared" si="10"/>
        <v>15.360000000000001</v>
      </c>
      <c r="O81" s="668">
        <f t="shared" ca="1" si="11"/>
        <v>208</v>
      </c>
      <c r="P81" s="655">
        <f t="shared" ca="1" si="12"/>
        <v>-2273.2800000000002</v>
      </c>
      <c r="Q81" s="667">
        <f t="shared" ca="1" si="13"/>
        <v>1</v>
      </c>
      <c r="R81" s="669" t="s">
        <v>20</v>
      </c>
    </row>
    <row r="82" spans="2:18" ht="57" x14ac:dyDescent="0.25">
      <c r="B82" s="661">
        <v>39051</v>
      </c>
      <c r="C82" s="662" t="s">
        <v>2351</v>
      </c>
      <c r="D82" s="669" t="s">
        <v>81</v>
      </c>
      <c r="E82" s="651" t="s">
        <v>152</v>
      </c>
      <c r="F82" s="663" t="s">
        <v>143</v>
      </c>
      <c r="G82" s="651" t="s">
        <v>28</v>
      </c>
      <c r="H82" s="651" t="s">
        <v>67</v>
      </c>
      <c r="I82" s="651" t="s">
        <v>68</v>
      </c>
      <c r="J82" s="664">
        <v>921.6</v>
      </c>
      <c r="K82" s="665">
        <v>33.33</v>
      </c>
      <c r="L82" s="655">
        <f t="shared" si="9"/>
        <v>27.650765076507653</v>
      </c>
      <c r="M82" s="666">
        <v>60</v>
      </c>
      <c r="N82" s="667">
        <f t="shared" si="10"/>
        <v>15.360000000000001</v>
      </c>
      <c r="O82" s="668">
        <f t="shared" ca="1" si="11"/>
        <v>208</v>
      </c>
      <c r="P82" s="655">
        <f t="shared" ca="1" si="12"/>
        <v>-2273.2800000000002</v>
      </c>
      <c r="Q82" s="667">
        <f t="shared" ca="1" si="13"/>
        <v>1</v>
      </c>
      <c r="R82" s="669" t="s">
        <v>20</v>
      </c>
    </row>
    <row r="83" spans="2:18" ht="57" x14ac:dyDescent="0.25">
      <c r="B83" s="661">
        <v>39051</v>
      </c>
      <c r="C83" s="662" t="s">
        <v>2351</v>
      </c>
      <c r="D83" s="669" t="s">
        <v>81</v>
      </c>
      <c r="E83" s="651" t="s">
        <v>153</v>
      </c>
      <c r="F83" s="663" t="s">
        <v>143</v>
      </c>
      <c r="G83" s="651" t="s">
        <v>28</v>
      </c>
      <c r="H83" s="651" t="s">
        <v>67</v>
      </c>
      <c r="I83" s="651" t="s">
        <v>68</v>
      </c>
      <c r="J83" s="664">
        <v>921.6</v>
      </c>
      <c r="K83" s="665">
        <v>33.33</v>
      </c>
      <c r="L83" s="655">
        <f t="shared" si="9"/>
        <v>27.650765076507653</v>
      </c>
      <c r="M83" s="666">
        <v>60</v>
      </c>
      <c r="N83" s="667">
        <f t="shared" si="10"/>
        <v>15.360000000000001</v>
      </c>
      <c r="O83" s="668">
        <f t="shared" ca="1" si="11"/>
        <v>208</v>
      </c>
      <c r="P83" s="655">
        <f t="shared" ca="1" si="12"/>
        <v>-2273.2800000000002</v>
      </c>
      <c r="Q83" s="667">
        <f t="shared" ca="1" si="13"/>
        <v>1</v>
      </c>
      <c r="R83" s="669" t="s">
        <v>20</v>
      </c>
    </row>
    <row r="84" spans="2:18" ht="57" x14ac:dyDescent="0.25">
      <c r="B84" s="661">
        <v>39051</v>
      </c>
      <c r="C84" s="662" t="s">
        <v>2351</v>
      </c>
      <c r="D84" s="669" t="s">
        <v>81</v>
      </c>
      <c r="E84" s="651" t="s">
        <v>154</v>
      </c>
      <c r="F84" s="663" t="s">
        <v>143</v>
      </c>
      <c r="G84" s="651" t="s">
        <v>28</v>
      </c>
      <c r="H84" s="651" t="s">
        <v>67</v>
      </c>
      <c r="I84" s="651" t="s">
        <v>68</v>
      </c>
      <c r="J84" s="664">
        <v>921.6</v>
      </c>
      <c r="K84" s="665">
        <v>33.33</v>
      </c>
      <c r="L84" s="655">
        <f t="shared" si="9"/>
        <v>27.650765076507653</v>
      </c>
      <c r="M84" s="666">
        <v>60</v>
      </c>
      <c r="N84" s="667">
        <f t="shared" si="10"/>
        <v>15.360000000000001</v>
      </c>
      <c r="O84" s="668">
        <f t="shared" ca="1" si="11"/>
        <v>208</v>
      </c>
      <c r="P84" s="655">
        <f t="shared" ca="1" si="12"/>
        <v>-2273.2800000000002</v>
      </c>
      <c r="Q84" s="667">
        <f t="shared" ca="1" si="13"/>
        <v>1</v>
      </c>
      <c r="R84" s="669" t="s">
        <v>20</v>
      </c>
    </row>
    <row r="85" spans="2:18" ht="57" x14ac:dyDescent="0.25">
      <c r="B85" s="661">
        <v>39051</v>
      </c>
      <c r="C85" s="662" t="s">
        <v>2351</v>
      </c>
      <c r="D85" s="669" t="s">
        <v>81</v>
      </c>
      <c r="E85" s="651" t="s">
        <v>155</v>
      </c>
      <c r="F85" s="663" t="s">
        <v>143</v>
      </c>
      <c r="G85" s="651" t="s">
        <v>28</v>
      </c>
      <c r="H85" s="651" t="s">
        <v>67</v>
      </c>
      <c r="I85" s="651" t="s">
        <v>68</v>
      </c>
      <c r="J85" s="664">
        <v>921.6</v>
      </c>
      <c r="K85" s="665">
        <v>33.33</v>
      </c>
      <c r="L85" s="655">
        <f t="shared" si="9"/>
        <v>27.650765076507653</v>
      </c>
      <c r="M85" s="666">
        <v>60</v>
      </c>
      <c r="N85" s="667">
        <f t="shared" si="10"/>
        <v>15.360000000000001</v>
      </c>
      <c r="O85" s="668">
        <f t="shared" ca="1" si="11"/>
        <v>208</v>
      </c>
      <c r="P85" s="655">
        <f t="shared" ca="1" si="12"/>
        <v>-2273.2800000000002</v>
      </c>
      <c r="Q85" s="667">
        <f t="shared" ca="1" si="13"/>
        <v>1</v>
      </c>
      <c r="R85" s="669" t="s">
        <v>20</v>
      </c>
    </row>
    <row r="86" spans="2:18" ht="57" x14ac:dyDescent="0.25">
      <c r="B86" s="661">
        <v>39051</v>
      </c>
      <c r="C86" s="662" t="s">
        <v>2351</v>
      </c>
      <c r="D86" s="669" t="s">
        <v>81</v>
      </c>
      <c r="E86" s="651" t="s">
        <v>156</v>
      </c>
      <c r="F86" s="663" t="s">
        <v>143</v>
      </c>
      <c r="G86" s="651" t="s">
        <v>28</v>
      </c>
      <c r="H86" s="651" t="s">
        <v>67</v>
      </c>
      <c r="I86" s="651" t="s">
        <v>68</v>
      </c>
      <c r="J86" s="664">
        <v>921.6</v>
      </c>
      <c r="K86" s="665">
        <v>33.33</v>
      </c>
      <c r="L86" s="655">
        <f t="shared" si="9"/>
        <v>27.650765076507653</v>
      </c>
      <c r="M86" s="666">
        <v>60</v>
      </c>
      <c r="N86" s="667">
        <f t="shared" si="10"/>
        <v>15.360000000000001</v>
      </c>
      <c r="O86" s="668">
        <f t="shared" ca="1" si="11"/>
        <v>208</v>
      </c>
      <c r="P86" s="655">
        <f t="shared" ca="1" si="12"/>
        <v>-2273.2800000000002</v>
      </c>
      <c r="Q86" s="667">
        <f t="shared" ca="1" si="13"/>
        <v>1</v>
      </c>
      <c r="R86" s="669" t="s">
        <v>20</v>
      </c>
    </row>
    <row r="87" spans="2:18" ht="57" x14ac:dyDescent="0.25">
      <c r="B87" s="661">
        <v>39051</v>
      </c>
      <c r="C87" s="662" t="s">
        <v>2351</v>
      </c>
      <c r="D87" s="669" t="s">
        <v>81</v>
      </c>
      <c r="E87" s="651" t="s">
        <v>157</v>
      </c>
      <c r="F87" s="663" t="s">
        <v>143</v>
      </c>
      <c r="G87" s="651" t="s">
        <v>28</v>
      </c>
      <c r="H87" s="651" t="s">
        <v>67</v>
      </c>
      <c r="I87" s="651" t="s">
        <v>68</v>
      </c>
      <c r="J87" s="664">
        <v>921.6</v>
      </c>
      <c r="K87" s="665">
        <v>33.33</v>
      </c>
      <c r="L87" s="655">
        <f t="shared" si="9"/>
        <v>27.650765076507653</v>
      </c>
      <c r="M87" s="666">
        <v>60</v>
      </c>
      <c r="N87" s="667">
        <f t="shared" si="10"/>
        <v>15.360000000000001</v>
      </c>
      <c r="O87" s="668">
        <f t="shared" ca="1" si="11"/>
        <v>208</v>
      </c>
      <c r="P87" s="655">
        <f t="shared" ca="1" si="12"/>
        <v>-2273.2800000000002</v>
      </c>
      <c r="Q87" s="667">
        <f t="shared" ca="1" si="13"/>
        <v>1</v>
      </c>
      <c r="R87" s="669" t="s">
        <v>20</v>
      </c>
    </row>
    <row r="88" spans="2:18" ht="57" x14ac:dyDescent="0.25">
      <c r="B88" s="661">
        <v>39051</v>
      </c>
      <c r="C88" s="662" t="s">
        <v>2351</v>
      </c>
      <c r="D88" s="669" t="s">
        <v>81</v>
      </c>
      <c r="E88" s="651" t="s">
        <v>158</v>
      </c>
      <c r="F88" s="663" t="s">
        <v>143</v>
      </c>
      <c r="G88" s="651" t="s">
        <v>28</v>
      </c>
      <c r="H88" s="651" t="s">
        <v>67</v>
      </c>
      <c r="I88" s="651" t="s">
        <v>68</v>
      </c>
      <c r="J88" s="664">
        <v>921.6</v>
      </c>
      <c r="K88" s="665">
        <v>33.33</v>
      </c>
      <c r="L88" s="655">
        <f t="shared" si="9"/>
        <v>27.650765076507653</v>
      </c>
      <c r="M88" s="666">
        <v>60</v>
      </c>
      <c r="N88" s="667">
        <f t="shared" si="10"/>
        <v>15.360000000000001</v>
      </c>
      <c r="O88" s="668">
        <f t="shared" ca="1" si="11"/>
        <v>208</v>
      </c>
      <c r="P88" s="655">
        <f t="shared" ca="1" si="12"/>
        <v>-2273.2800000000002</v>
      </c>
      <c r="Q88" s="667">
        <f t="shared" ca="1" si="13"/>
        <v>1</v>
      </c>
      <c r="R88" s="669" t="s">
        <v>20</v>
      </c>
    </row>
    <row r="89" spans="2:18" ht="57" x14ac:dyDescent="0.25">
      <c r="B89" s="661">
        <v>39051</v>
      </c>
      <c r="C89" s="662" t="s">
        <v>2351</v>
      </c>
      <c r="D89" s="669" t="s">
        <v>81</v>
      </c>
      <c r="E89" s="651" t="s">
        <v>159</v>
      </c>
      <c r="F89" s="663" t="s">
        <v>143</v>
      </c>
      <c r="G89" s="651" t="s">
        <v>28</v>
      </c>
      <c r="H89" s="651" t="s">
        <v>67</v>
      </c>
      <c r="I89" s="651" t="s">
        <v>68</v>
      </c>
      <c r="J89" s="664">
        <v>921.6</v>
      </c>
      <c r="K89" s="665">
        <v>33.33</v>
      </c>
      <c r="L89" s="655">
        <f t="shared" si="9"/>
        <v>27.650765076507653</v>
      </c>
      <c r="M89" s="666">
        <v>60</v>
      </c>
      <c r="N89" s="667">
        <f t="shared" si="10"/>
        <v>15.360000000000001</v>
      </c>
      <c r="O89" s="668">
        <f t="shared" ca="1" si="11"/>
        <v>208</v>
      </c>
      <c r="P89" s="655">
        <f t="shared" ca="1" si="12"/>
        <v>-2273.2800000000002</v>
      </c>
      <c r="Q89" s="667">
        <f t="shared" ca="1" si="13"/>
        <v>1</v>
      </c>
      <c r="R89" s="669" t="s">
        <v>20</v>
      </c>
    </row>
    <row r="90" spans="2:18" ht="57" x14ac:dyDescent="0.25">
      <c r="B90" s="661">
        <v>39051</v>
      </c>
      <c r="C90" s="662" t="s">
        <v>2351</v>
      </c>
      <c r="D90" s="669" t="s">
        <v>81</v>
      </c>
      <c r="E90" s="651" t="s">
        <v>160</v>
      </c>
      <c r="F90" s="663" t="s">
        <v>143</v>
      </c>
      <c r="G90" s="651" t="s">
        <v>28</v>
      </c>
      <c r="H90" s="651" t="s">
        <v>67</v>
      </c>
      <c r="I90" s="651" t="s">
        <v>68</v>
      </c>
      <c r="J90" s="664">
        <v>921.6</v>
      </c>
      <c r="K90" s="665">
        <v>33.33</v>
      </c>
      <c r="L90" s="655">
        <f t="shared" si="9"/>
        <v>27.650765076507653</v>
      </c>
      <c r="M90" s="666">
        <v>60</v>
      </c>
      <c r="N90" s="667">
        <f t="shared" si="10"/>
        <v>15.360000000000001</v>
      </c>
      <c r="O90" s="668">
        <f t="shared" ca="1" si="11"/>
        <v>208</v>
      </c>
      <c r="P90" s="655">
        <f t="shared" ca="1" si="12"/>
        <v>-2273.2800000000002</v>
      </c>
      <c r="Q90" s="667">
        <f t="shared" ca="1" si="13"/>
        <v>1</v>
      </c>
      <c r="R90" s="669" t="s">
        <v>20</v>
      </c>
    </row>
    <row r="91" spans="2:18" ht="57" x14ac:dyDescent="0.25">
      <c r="B91" s="661">
        <v>39051</v>
      </c>
      <c r="C91" s="662" t="s">
        <v>2351</v>
      </c>
      <c r="D91" s="669" t="s">
        <v>81</v>
      </c>
      <c r="E91" s="651" t="s">
        <v>161</v>
      </c>
      <c r="F91" s="663" t="s">
        <v>143</v>
      </c>
      <c r="G91" s="651" t="s">
        <v>28</v>
      </c>
      <c r="H91" s="651" t="s">
        <v>67</v>
      </c>
      <c r="I91" s="651" t="s">
        <v>68</v>
      </c>
      <c r="J91" s="664">
        <v>921.6</v>
      </c>
      <c r="K91" s="665">
        <v>33.33</v>
      </c>
      <c r="L91" s="655">
        <f t="shared" si="9"/>
        <v>27.650765076507653</v>
      </c>
      <c r="M91" s="666">
        <v>60</v>
      </c>
      <c r="N91" s="667">
        <f t="shared" si="10"/>
        <v>15.360000000000001</v>
      </c>
      <c r="O91" s="668">
        <f t="shared" ca="1" si="11"/>
        <v>208</v>
      </c>
      <c r="P91" s="655">
        <f t="shared" ca="1" si="12"/>
        <v>-2273.2800000000002</v>
      </c>
      <c r="Q91" s="667">
        <f t="shared" ca="1" si="13"/>
        <v>1</v>
      </c>
      <c r="R91" s="669" t="s">
        <v>20</v>
      </c>
    </row>
    <row r="92" spans="2:18" ht="57" x14ac:dyDescent="0.25">
      <c r="B92" s="661">
        <v>39051</v>
      </c>
      <c r="C92" s="662" t="s">
        <v>2351</v>
      </c>
      <c r="D92" s="669" t="s">
        <v>81</v>
      </c>
      <c r="E92" s="651" t="s">
        <v>162</v>
      </c>
      <c r="F92" s="663" t="s">
        <v>143</v>
      </c>
      <c r="G92" s="651" t="s">
        <v>28</v>
      </c>
      <c r="H92" s="651" t="s">
        <v>67</v>
      </c>
      <c r="I92" s="651" t="s">
        <v>68</v>
      </c>
      <c r="J92" s="664">
        <v>921.6</v>
      </c>
      <c r="K92" s="665">
        <v>33.33</v>
      </c>
      <c r="L92" s="655">
        <f t="shared" si="9"/>
        <v>27.650765076507653</v>
      </c>
      <c r="M92" s="666">
        <v>60</v>
      </c>
      <c r="N92" s="667">
        <f t="shared" si="10"/>
        <v>15.360000000000001</v>
      </c>
      <c r="O92" s="668">
        <f t="shared" ca="1" si="11"/>
        <v>208</v>
      </c>
      <c r="P92" s="655">
        <f t="shared" ca="1" si="12"/>
        <v>-2273.2800000000002</v>
      </c>
      <c r="Q92" s="667">
        <f t="shared" ca="1" si="13"/>
        <v>1</v>
      </c>
      <c r="R92" s="669" t="s">
        <v>20</v>
      </c>
    </row>
    <row r="93" spans="2:18" ht="57" x14ac:dyDescent="0.25">
      <c r="B93" s="661">
        <v>39051</v>
      </c>
      <c r="C93" s="662" t="s">
        <v>2351</v>
      </c>
      <c r="D93" s="669" t="s">
        <v>81</v>
      </c>
      <c r="E93" s="651" t="s">
        <v>163</v>
      </c>
      <c r="F93" s="663" t="s">
        <v>143</v>
      </c>
      <c r="G93" s="651" t="s">
        <v>28</v>
      </c>
      <c r="H93" s="651" t="s">
        <v>67</v>
      </c>
      <c r="I93" s="651" t="s">
        <v>68</v>
      </c>
      <c r="J93" s="664">
        <v>921.6</v>
      </c>
      <c r="K93" s="665">
        <v>33.33</v>
      </c>
      <c r="L93" s="655">
        <f t="shared" si="9"/>
        <v>27.650765076507653</v>
      </c>
      <c r="M93" s="666">
        <v>60</v>
      </c>
      <c r="N93" s="667">
        <f t="shared" si="10"/>
        <v>15.360000000000001</v>
      </c>
      <c r="O93" s="668">
        <f t="shared" ca="1" si="11"/>
        <v>208</v>
      </c>
      <c r="P93" s="655">
        <f t="shared" ca="1" si="12"/>
        <v>-2273.2800000000002</v>
      </c>
      <c r="Q93" s="667">
        <f t="shared" ca="1" si="13"/>
        <v>1</v>
      </c>
      <c r="R93" s="669" t="s">
        <v>20</v>
      </c>
    </row>
    <row r="94" spans="2:18" ht="57" x14ac:dyDescent="0.25">
      <c r="B94" s="661">
        <v>39051</v>
      </c>
      <c r="C94" s="662" t="s">
        <v>2351</v>
      </c>
      <c r="D94" s="669" t="s">
        <v>81</v>
      </c>
      <c r="E94" s="651" t="s">
        <v>164</v>
      </c>
      <c r="F94" s="663" t="s">
        <v>143</v>
      </c>
      <c r="G94" s="651" t="s">
        <v>28</v>
      </c>
      <c r="H94" s="651" t="s">
        <v>67</v>
      </c>
      <c r="I94" s="651" t="s">
        <v>68</v>
      </c>
      <c r="J94" s="664">
        <v>921.6</v>
      </c>
      <c r="K94" s="665">
        <v>33.33</v>
      </c>
      <c r="L94" s="655">
        <f t="shared" si="9"/>
        <v>27.650765076507653</v>
      </c>
      <c r="M94" s="666">
        <v>60</v>
      </c>
      <c r="N94" s="667">
        <f t="shared" si="10"/>
        <v>15.360000000000001</v>
      </c>
      <c r="O94" s="668">
        <f t="shared" ca="1" si="11"/>
        <v>208</v>
      </c>
      <c r="P94" s="655">
        <f t="shared" ca="1" si="12"/>
        <v>-2273.2800000000002</v>
      </c>
      <c r="Q94" s="667">
        <f t="shared" ca="1" si="13"/>
        <v>1</v>
      </c>
      <c r="R94" s="669" t="s">
        <v>20</v>
      </c>
    </row>
    <row r="95" spans="2:18" ht="57" x14ac:dyDescent="0.25">
      <c r="B95" s="661">
        <v>39051</v>
      </c>
      <c r="C95" s="662" t="s">
        <v>2351</v>
      </c>
      <c r="D95" s="669" t="s">
        <v>81</v>
      </c>
      <c r="E95" s="651" t="s">
        <v>165</v>
      </c>
      <c r="F95" s="663" t="s">
        <v>143</v>
      </c>
      <c r="G95" s="651" t="s">
        <v>28</v>
      </c>
      <c r="H95" s="651" t="s">
        <v>67</v>
      </c>
      <c r="I95" s="651" t="s">
        <v>68</v>
      </c>
      <c r="J95" s="664">
        <v>921.6</v>
      </c>
      <c r="K95" s="665">
        <v>33.33</v>
      </c>
      <c r="L95" s="655">
        <f t="shared" si="9"/>
        <v>27.650765076507653</v>
      </c>
      <c r="M95" s="666">
        <v>60</v>
      </c>
      <c r="N95" s="667">
        <f t="shared" si="10"/>
        <v>15.360000000000001</v>
      </c>
      <c r="O95" s="668">
        <f t="shared" ca="1" si="11"/>
        <v>208</v>
      </c>
      <c r="P95" s="655">
        <f t="shared" ca="1" si="12"/>
        <v>-2273.2800000000002</v>
      </c>
      <c r="Q95" s="667">
        <f t="shared" ca="1" si="13"/>
        <v>1</v>
      </c>
      <c r="R95" s="669" t="s">
        <v>20</v>
      </c>
    </row>
    <row r="96" spans="2:18" ht="57" x14ac:dyDescent="0.25">
      <c r="B96" s="661">
        <v>39051</v>
      </c>
      <c r="C96" s="662" t="s">
        <v>2351</v>
      </c>
      <c r="D96" s="669" t="s">
        <v>81</v>
      </c>
      <c r="E96" s="651" t="s">
        <v>166</v>
      </c>
      <c r="F96" s="663" t="s">
        <v>143</v>
      </c>
      <c r="G96" s="651" t="s">
        <v>28</v>
      </c>
      <c r="H96" s="651" t="s">
        <v>67</v>
      </c>
      <c r="I96" s="651" t="s">
        <v>68</v>
      </c>
      <c r="J96" s="664">
        <v>921.6</v>
      </c>
      <c r="K96" s="665">
        <v>33.33</v>
      </c>
      <c r="L96" s="655">
        <f t="shared" si="9"/>
        <v>27.650765076507653</v>
      </c>
      <c r="M96" s="666">
        <v>60</v>
      </c>
      <c r="N96" s="667">
        <f t="shared" si="10"/>
        <v>15.360000000000001</v>
      </c>
      <c r="O96" s="668">
        <f t="shared" ca="1" si="11"/>
        <v>208</v>
      </c>
      <c r="P96" s="655">
        <f t="shared" ca="1" si="12"/>
        <v>-2273.2800000000002</v>
      </c>
      <c r="Q96" s="667">
        <f t="shared" ca="1" si="13"/>
        <v>1</v>
      </c>
      <c r="R96" s="669" t="s">
        <v>20</v>
      </c>
    </row>
    <row r="97" spans="2:18" ht="57" x14ac:dyDescent="0.25">
      <c r="B97" s="661">
        <v>39051</v>
      </c>
      <c r="C97" s="662" t="s">
        <v>2351</v>
      </c>
      <c r="D97" s="669" t="s">
        <v>81</v>
      </c>
      <c r="E97" s="651" t="s">
        <v>167</v>
      </c>
      <c r="F97" s="663" t="s">
        <v>143</v>
      </c>
      <c r="G97" s="651" t="s">
        <v>28</v>
      </c>
      <c r="H97" s="651" t="s">
        <v>67</v>
      </c>
      <c r="I97" s="651" t="s">
        <v>68</v>
      </c>
      <c r="J97" s="664">
        <v>921.6</v>
      </c>
      <c r="K97" s="665">
        <v>33.33</v>
      </c>
      <c r="L97" s="655">
        <f t="shared" si="9"/>
        <v>27.650765076507653</v>
      </c>
      <c r="M97" s="666">
        <v>60</v>
      </c>
      <c r="N97" s="667">
        <f t="shared" si="10"/>
        <v>15.360000000000001</v>
      </c>
      <c r="O97" s="668">
        <f t="shared" ca="1" si="11"/>
        <v>208</v>
      </c>
      <c r="P97" s="655">
        <f t="shared" ca="1" si="12"/>
        <v>-2273.2800000000002</v>
      </c>
      <c r="Q97" s="667">
        <f t="shared" ca="1" si="13"/>
        <v>1</v>
      </c>
      <c r="R97" s="669" t="s">
        <v>20</v>
      </c>
    </row>
    <row r="98" spans="2:18" ht="57" x14ac:dyDescent="0.25">
      <c r="B98" s="661">
        <v>39051</v>
      </c>
      <c r="C98" s="662" t="s">
        <v>2351</v>
      </c>
      <c r="D98" s="669" t="s">
        <v>81</v>
      </c>
      <c r="E98" s="651" t="s">
        <v>168</v>
      </c>
      <c r="F98" s="663" t="s">
        <v>143</v>
      </c>
      <c r="G98" s="651" t="s">
        <v>28</v>
      </c>
      <c r="H98" s="651" t="s">
        <v>67</v>
      </c>
      <c r="I98" s="651" t="s">
        <v>68</v>
      </c>
      <c r="J98" s="664">
        <v>921.6</v>
      </c>
      <c r="K98" s="665">
        <v>33.33</v>
      </c>
      <c r="L98" s="655">
        <f t="shared" si="9"/>
        <v>27.650765076507653</v>
      </c>
      <c r="M98" s="666">
        <v>60</v>
      </c>
      <c r="N98" s="667">
        <f t="shared" si="10"/>
        <v>15.360000000000001</v>
      </c>
      <c r="O98" s="668">
        <f t="shared" ca="1" si="11"/>
        <v>208</v>
      </c>
      <c r="P98" s="655">
        <f t="shared" ca="1" si="12"/>
        <v>-2273.2800000000002</v>
      </c>
      <c r="Q98" s="667">
        <f t="shared" ca="1" si="13"/>
        <v>1</v>
      </c>
      <c r="R98" s="669" t="s">
        <v>20</v>
      </c>
    </row>
    <row r="99" spans="2:18" ht="57" x14ac:dyDescent="0.25">
      <c r="B99" s="661">
        <v>39051</v>
      </c>
      <c r="C99" s="662" t="s">
        <v>2351</v>
      </c>
      <c r="D99" s="669" t="s">
        <v>81</v>
      </c>
      <c r="E99" s="651" t="s">
        <v>169</v>
      </c>
      <c r="F99" s="663" t="s">
        <v>143</v>
      </c>
      <c r="G99" s="651" t="s">
        <v>28</v>
      </c>
      <c r="H99" s="651" t="s">
        <v>67</v>
      </c>
      <c r="I99" s="651" t="s">
        <v>68</v>
      </c>
      <c r="J99" s="664">
        <v>921.6</v>
      </c>
      <c r="K99" s="665">
        <v>33.33</v>
      </c>
      <c r="L99" s="655">
        <f t="shared" si="9"/>
        <v>27.650765076507653</v>
      </c>
      <c r="M99" s="666">
        <v>60</v>
      </c>
      <c r="N99" s="667">
        <f t="shared" si="10"/>
        <v>15.360000000000001</v>
      </c>
      <c r="O99" s="668">
        <f t="shared" ca="1" si="11"/>
        <v>208</v>
      </c>
      <c r="P99" s="655">
        <f t="shared" ca="1" si="12"/>
        <v>-2273.2800000000002</v>
      </c>
      <c r="Q99" s="667">
        <f t="shared" ca="1" si="13"/>
        <v>1</v>
      </c>
      <c r="R99" s="669" t="s">
        <v>20</v>
      </c>
    </row>
    <row r="100" spans="2:18" ht="57" x14ac:dyDescent="0.25">
      <c r="B100" s="661">
        <v>39051</v>
      </c>
      <c r="C100" s="662" t="s">
        <v>2351</v>
      </c>
      <c r="D100" s="669" t="s">
        <v>81</v>
      </c>
      <c r="E100" s="651" t="s">
        <v>170</v>
      </c>
      <c r="F100" s="663" t="s">
        <v>143</v>
      </c>
      <c r="G100" s="651" t="s">
        <v>28</v>
      </c>
      <c r="H100" s="651" t="s">
        <v>67</v>
      </c>
      <c r="I100" s="651" t="s">
        <v>68</v>
      </c>
      <c r="J100" s="664">
        <v>921.6</v>
      </c>
      <c r="K100" s="665">
        <v>33.33</v>
      </c>
      <c r="L100" s="655">
        <f t="shared" si="9"/>
        <v>27.650765076507653</v>
      </c>
      <c r="M100" s="666">
        <v>60</v>
      </c>
      <c r="N100" s="667">
        <f t="shared" si="10"/>
        <v>15.360000000000001</v>
      </c>
      <c r="O100" s="668">
        <f t="shared" ca="1" si="11"/>
        <v>208</v>
      </c>
      <c r="P100" s="655">
        <f t="shared" ca="1" si="12"/>
        <v>-2273.2800000000002</v>
      </c>
      <c r="Q100" s="667">
        <f t="shared" ca="1" si="13"/>
        <v>1</v>
      </c>
      <c r="R100" s="669" t="s">
        <v>20</v>
      </c>
    </row>
    <row r="101" spans="2:18" ht="57" x14ac:dyDescent="0.25">
      <c r="B101" s="661">
        <v>39051</v>
      </c>
      <c r="C101" s="662" t="s">
        <v>2351</v>
      </c>
      <c r="D101" s="669" t="s">
        <v>81</v>
      </c>
      <c r="E101" s="651" t="s">
        <v>171</v>
      </c>
      <c r="F101" s="663" t="s">
        <v>143</v>
      </c>
      <c r="G101" s="651" t="s">
        <v>28</v>
      </c>
      <c r="H101" s="651" t="s">
        <v>67</v>
      </c>
      <c r="I101" s="651" t="s">
        <v>68</v>
      </c>
      <c r="J101" s="664">
        <v>921.6</v>
      </c>
      <c r="K101" s="665">
        <v>33.33</v>
      </c>
      <c r="L101" s="655">
        <f t="shared" si="9"/>
        <v>27.650765076507653</v>
      </c>
      <c r="M101" s="666">
        <v>60</v>
      </c>
      <c r="N101" s="667">
        <f t="shared" si="10"/>
        <v>15.360000000000001</v>
      </c>
      <c r="O101" s="668">
        <f t="shared" ca="1" si="11"/>
        <v>208</v>
      </c>
      <c r="P101" s="655">
        <f t="shared" ca="1" si="12"/>
        <v>-2273.2800000000002</v>
      </c>
      <c r="Q101" s="667">
        <f t="shared" ca="1" si="13"/>
        <v>1</v>
      </c>
      <c r="R101" s="669" t="s">
        <v>20</v>
      </c>
    </row>
    <row r="102" spans="2:18" ht="57" x14ac:dyDescent="0.25">
      <c r="B102" s="661">
        <v>39051</v>
      </c>
      <c r="C102" s="662" t="s">
        <v>2351</v>
      </c>
      <c r="D102" s="669" t="s">
        <v>81</v>
      </c>
      <c r="E102" s="651" t="s">
        <v>172</v>
      </c>
      <c r="F102" s="663" t="s">
        <v>143</v>
      </c>
      <c r="G102" s="651" t="s">
        <v>28</v>
      </c>
      <c r="H102" s="651" t="s">
        <v>67</v>
      </c>
      <c r="I102" s="651" t="s">
        <v>68</v>
      </c>
      <c r="J102" s="664">
        <v>921.6</v>
      </c>
      <c r="K102" s="665">
        <v>33.33</v>
      </c>
      <c r="L102" s="655">
        <f t="shared" si="9"/>
        <v>27.650765076507653</v>
      </c>
      <c r="M102" s="666">
        <v>60</v>
      </c>
      <c r="N102" s="667">
        <f t="shared" si="10"/>
        <v>15.360000000000001</v>
      </c>
      <c r="O102" s="668">
        <f t="shared" ca="1" si="11"/>
        <v>208</v>
      </c>
      <c r="P102" s="655">
        <f t="shared" ca="1" si="12"/>
        <v>-2273.2800000000002</v>
      </c>
      <c r="Q102" s="667">
        <f t="shared" ca="1" si="13"/>
        <v>1</v>
      </c>
      <c r="R102" s="669" t="s">
        <v>20</v>
      </c>
    </row>
    <row r="103" spans="2:18" ht="57" x14ac:dyDescent="0.25">
      <c r="B103" s="661">
        <v>39051</v>
      </c>
      <c r="C103" s="662" t="s">
        <v>2351</v>
      </c>
      <c r="D103" s="669" t="s">
        <v>81</v>
      </c>
      <c r="E103" s="651" t="s">
        <v>173</v>
      </c>
      <c r="F103" s="663" t="s">
        <v>143</v>
      </c>
      <c r="G103" s="651" t="s">
        <v>28</v>
      </c>
      <c r="H103" s="651" t="s">
        <v>67</v>
      </c>
      <c r="I103" s="651" t="s">
        <v>68</v>
      </c>
      <c r="J103" s="664">
        <v>921.6</v>
      </c>
      <c r="K103" s="665">
        <v>33.33</v>
      </c>
      <c r="L103" s="655">
        <f t="shared" si="9"/>
        <v>27.650765076507653</v>
      </c>
      <c r="M103" s="666">
        <v>60</v>
      </c>
      <c r="N103" s="667">
        <f t="shared" si="10"/>
        <v>15.360000000000001</v>
      </c>
      <c r="O103" s="668">
        <f t="shared" ca="1" si="11"/>
        <v>208</v>
      </c>
      <c r="P103" s="655">
        <f t="shared" ca="1" si="12"/>
        <v>-2273.2800000000002</v>
      </c>
      <c r="Q103" s="667">
        <f t="shared" ca="1" si="13"/>
        <v>1</v>
      </c>
      <c r="R103" s="669" t="s">
        <v>20</v>
      </c>
    </row>
    <row r="104" spans="2:18" ht="57" x14ac:dyDescent="0.25">
      <c r="B104" s="661">
        <v>39051</v>
      </c>
      <c r="C104" s="662" t="s">
        <v>2351</v>
      </c>
      <c r="D104" s="669" t="s">
        <v>81</v>
      </c>
      <c r="E104" s="651" t="s">
        <v>174</v>
      </c>
      <c r="F104" s="663" t="s">
        <v>143</v>
      </c>
      <c r="G104" s="651" t="s">
        <v>28</v>
      </c>
      <c r="H104" s="651" t="s">
        <v>67</v>
      </c>
      <c r="I104" s="651" t="s">
        <v>68</v>
      </c>
      <c r="J104" s="664">
        <v>921.6</v>
      </c>
      <c r="K104" s="665">
        <v>33.33</v>
      </c>
      <c r="L104" s="655">
        <f t="shared" si="9"/>
        <v>27.650765076507653</v>
      </c>
      <c r="M104" s="666">
        <v>60</v>
      </c>
      <c r="N104" s="667">
        <f t="shared" si="10"/>
        <v>15.360000000000001</v>
      </c>
      <c r="O104" s="668">
        <f t="shared" ca="1" si="11"/>
        <v>208</v>
      </c>
      <c r="P104" s="655">
        <f t="shared" ca="1" si="12"/>
        <v>-2273.2800000000002</v>
      </c>
      <c r="Q104" s="667">
        <f t="shared" ca="1" si="13"/>
        <v>1</v>
      </c>
      <c r="R104" s="669" t="s">
        <v>20</v>
      </c>
    </row>
    <row r="105" spans="2:18" ht="57" x14ac:dyDescent="0.25">
      <c r="B105" s="661">
        <v>39051</v>
      </c>
      <c r="C105" s="662" t="s">
        <v>2351</v>
      </c>
      <c r="D105" s="669" t="s">
        <v>81</v>
      </c>
      <c r="E105" s="651" t="s">
        <v>175</v>
      </c>
      <c r="F105" s="663" t="s">
        <v>143</v>
      </c>
      <c r="G105" s="651" t="s">
        <v>28</v>
      </c>
      <c r="H105" s="651" t="s">
        <v>67</v>
      </c>
      <c r="I105" s="651" t="s">
        <v>68</v>
      </c>
      <c r="J105" s="664">
        <v>921.6</v>
      </c>
      <c r="K105" s="665">
        <v>33.33</v>
      </c>
      <c r="L105" s="655">
        <f t="shared" si="9"/>
        <v>27.650765076507653</v>
      </c>
      <c r="M105" s="666">
        <v>60</v>
      </c>
      <c r="N105" s="667">
        <f t="shared" si="10"/>
        <v>15.360000000000001</v>
      </c>
      <c r="O105" s="668">
        <f t="shared" ca="1" si="11"/>
        <v>208</v>
      </c>
      <c r="P105" s="655">
        <f t="shared" ca="1" si="12"/>
        <v>-2273.2800000000002</v>
      </c>
      <c r="Q105" s="667">
        <f t="shared" ca="1" si="13"/>
        <v>1</v>
      </c>
      <c r="R105" s="669" t="s">
        <v>20</v>
      </c>
    </row>
    <row r="106" spans="2:18" ht="57" x14ac:dyDescent="0.25">
      <c r="B106" s="661">
        <v>39051</v>
      </c>
      <c r="C106" s="662" t="s">
        <v>2351</v>
      </c>
      <c r="D106" s="669" t="s">
        <v>81</v>
      </c>
      <c r="E106" s="651" t="s">
        <v>176</v>
      </c>
      <c r="F106" s="663" t="s">
        <v>143</v>
      </c>
      <c r="G106" s="651" t="s">
        <v>28</v>
      </c>
      <c r="H106" s="651" t="s">
        <v>67</v>
      </c>
      <c r="I106" s="651" t="s">
        <v>68</v>
      </c>
      <c r="J106" s="664">
        <v>921.6</v>
      </c>
      <c r="K106" s="665">
        <v>33.33</v>
      </c>
      <c r="L106" s="655">
        <f t="shared" si="9"/>
        <v>27.650765076507653</v>
      </c>
      <c r="M106" s="666">
        <v>60</v>
      </c>
      <c r="N106" s="667">
        <f t="shared" si="10"/>
        <v>15.360000000000001</v>
      </c>
      <c r="O106" s="668">
        <f t="shared" ca="1" si="11"/>
        <v>208</v>
      </c>
      <c r="P106" s="655">
        <f t="shared" ca="1" si="12"/>
        <v>-2273.2800000000002</v>
      </c>
      <c r="Q106" s="667">
        <f t="shared" ca="1" si="13"/>
        <v>1</v>
      </c>
      <c r="R106" s="669" t="s">
        <v>20</v>
      </c>
    </row>
    <row r="107" spans="2:18" ht="57" x14ac:dyDescent="0.25">
      <c r="B107" s="661">
        <v>39051</v>
      </c>
      <c r="C107" s="662" t="s">
        <v>2351</v>
      </c>
      <c r="D107" s="669" t="s">
        <v>81</v>
      </c>
      <c r="E107" s="651" t="s">
        <v>177</v>
      </c>
      <c r="F107" s="663" t="s">
        <v>143</v>
      </c>
      <c r="G107" s="651" t="s">
        <v>28</v>
      </c>
      <c r="H107" s="651" t="s">
        <v>67</v>
      </c>
      <c r="I107" s="651" t="s">
        <v>68</v>
      </c>
      <c r="J107" s="664">
        <v>921.6</v>
      </c>
      <c r="K107" s="665">
        <v>33.33</v>
      </c>
      <c r="L107" s="655">
        <f t="shared" si="9"/>
        <v>27.650765076507653</v>
      </c>
      <c r="M107" s="666">
        <v>60</v>
      </c>
      <c r="N107" s="667">
        <f t="shared" si="10"/>
        <v>15.360000000000001</v>
      </c>
      <c r="O107" s="668">
        <f t="shared" ca="1" si="11"/>
        <v>208</v>
      </c>
      <c r="P107" s="655">
        <f t="shared" ca="1" si="12"/>
        <v>-2273.2800000000002</v>
      </c>
      <c r="Q107" s="667">
        <f t="shared" ca="1" si="13"/>
        <v>1</v>
      </c>
      <c r="R107" s="669" t="s">
        <v>20</v>
      </c>
    </row>
    <row r="108" spans="2:18" ht="57" x14ac:dyDescent="0.25">
      <c r="B108" s="661">
        <v>39051</v>
      </c>
      <c r="C108" s="662" t="s">
        <v>2351</v>
      </c>
      <c r="D108" s="669" t="s">
        <v>81</v>
      </c>
      <c r="E108" s="651" t="s">
        <v>178</v>
      </c>
      <c r="F108" s="663" t="s">
        <v>143</v>
      </c>
      <c r="G108" s="651" t="s">
        <v>28</v>
      </c>
      <c r="H108" s="651" t="s">
        <v>67</v>
      </c>
      <c r="I108" s="651" t="s">
        <v>68</v>
      </c>
      <c r="J108" s="664">
        <v>921.6</v>
      </c>
      <c r="K108" s="665">
        <v>33.33</v>
      </c>
      <c r="L108" s="655">
        <f t="shared" si="9"/>
        <v>27.650765076507653</v>
      </c>
      <c r="M108" s="666">
        <v>60</v>
      </c>
      <c r="N108" s="667">
        <f t="shared" si="10"/>
        <v>15.360000000000001</v>
      </c>
      <c r="O108" s="668">
        <f t="shared" ca="1" si="11"/>
        <v>208</v>
      </c>
      <c r="P108" s="655">
        <f t="shared" ca="1" si="12"/>
        <v>-2273.2800000000002</v>
      </c>
      <c r="Q108" s="667">
        <f t="shared" ca="1" si="13"/>
        <v>1</v>
      </c>
      <c r="R108" s="669" t="s">
        <v>20</v>
      </c>
    </row>
    <row r="109" spans="2:18" ht="57" x14ac:dyDescent="0.25">
      <c r="B109" s="661">
        <v>39051</v>
      </c>
      <c r="C109" s="662" t="s">
        <v>2351</v>
      </c>
      <c r="D109" s="669" t="s">
        <v>81</v>
      </c>
      <c r="E109" s="651" t="s">
        <v>179</v>
      </c>
      <c r="F109" s="663" t="s">
        <v>143</v>
      </c>
      <c r="G109" s="651" t="s">
        <v>28</v>
      </c>
      <c r="H109" s="651" t="s">
        <v>67</v>
      </c>
      <c r="I109" s="651" t="s">
        <v>68</v>
      </c>
      <c r="J109" s="664">
        <v>921.6</v>
      </c>
      <c r="K109" s="665">
        <v>33.33</v>
      </c>
      <c r="L109" s="655">
        <f t="shared" si="9"/>
        <v>27.650765076507653</v>
      </c>
      <c r="M109" s="666">
        <v>60</v>
      </c>
      <c r="N109" s="667">
        <f t="shared" si="10"/>
        <v>15.360000000000001</v>
      </c>
      <c r="O109" s="668">
        <f t="shared" ca="1" si="11"/>
        <v>208</v>
      </c>
      <c r="P109" s="655">
        <f t="shared" ca="1" si="12"/>
        <v>-2273.2800000000002</v>
      </c>
      <c r="Q109" s="667">
        <f t="shared" ca="1" si="13"/>
        <v>1</v>
      </c>
      <c r="R109" s="669" t="s">
        <v>20</v>
      </c>
    </row>
    <row r="110" spans="2:18" ht="57" x14ac:dyDescent="0.25">
      <c r="B110" s="661">
        <v>39051</v>
      </c>
      <c r="C110" s="662" t="s">
        <v>2351</v>
      </c>
      <c r="D110" s="669" t="s">
        <v>81</v>
      </c>
      <c r="E110" s="651" t="s">
        <v>180</v>
      </c>
      <c r="F110" s="663" t="s">
        <v>143</v>
      </c>
      <c r="G110" s="651" t="s">
        <v>28</v>
      </c>
      <c r="H110" s="651" t="s">
        <v>67</v>
      </c>
      <c r="I110" s="651" t="s">
        <v>68</v>
      </c>
      <c r="J110" s="664">
        <v>921.6</v>
      </c>
      <c r="K110" s="665">
        <v>33.33</v>
      </c>
      <c r="L110" s="655">
        <f t="shared" si="9"/>
        <v>27.650765076507653</v>
      </c>
      <c r="M110" s="666">
        <v>60</v>
      </c>
      <c r="N110" s="667">
        <f t="shared" si="10"/>
        <v>15.360000000000001</v>
      </c>
      <c r="O110" s="668">
        <f t="shared" ca="1" si="11"/>
        <v>208</v>
      </c>
      <c r="P110" s="655">
        <f t="shared" ca="1" si="12"/>
        <v>-2273.2800000000002</v>
      </c>
      <c r="Q110" s="667">
        <f t="shared" ca="1" si="13"/>
        <v>1</v>
      </c>
      <c r="R110" s="669" t="s">
        <v>20</v>
      </c>
    </row>
    <row r="111" spans="2:18" ht="57" x14ac:dyDescent="0.25">
      <c r="B111" s="661">
        <v>39051</v>
      </c>
      <c r="C111" s="662" t="s">
        <v>2351</v>
      </c>
      <c r="D111" s="669" t="s">
        <v>81</v>
      </c>
      <c r="E111" s="651" t="s">
        <v>180</v>
      </c>
      <c r="F111" s="663" t="s">
        <v>143</v>
      </c>
      <c r="G111" s="651" t="s">
        <v>28</v>
      </c>
      <c r="H111" s="651" t="s">
        <v>67</v>
      </c>
      <c r="I111" s="651" t="s">
        <v>68</v>
      </c>
      <c r="J111" s="664">
        <v>921.6</v>
      </c>
      <c r="K111" s="665">
        <v>33.33</v>
      </c>
      <c r="L111" s="655">
        <f t="shared" si="9"/>
        <v>27.650765076507653</v>
      </c>
      <c r="M111" s="666">
        <v>60</v>
      </c>
      <c r="N111" s="667">
        <f t="shared" si="10"/>
        <v>15.360000000000001</v>
      </c>
      <c r="O111" s="668">
        <f t="shared" ca="1" si="11"/>
        <v>208</v>
      </c>
      <c r="P111" s="655">
        <f t="shared" ca="1" si="12"/>
        <v>-2273.2800000000002</v>
      </c>
      <c r="Q111" s="667">
        <f t="shared" ca="1" si="13"/>
        <v>1</v>
      </c>
      <c r="R111" s="669" t="s">
        <v>20</v>
      </c>
    </row>
    <row r="112" spans="2:18" ht="57" x14ac:dyDescent="0.25">
      <c r="B112" s="661">
        <v>39051</v>
      </c>
      <c r="C112" s="662" t="s">
        <v>2351</v>
      </c>
      <c r="D112" s="669" t="s">
        <v>81</v>
      </c>
      <c r="E112" s="651" t="s">
        <v>181</v>
      </c>
      <c r="F112" s="663" t="s">
        <v>143</v>
      </c>
      <c r="G112" s="651" t="s">
        <v>28</v>
      </c>
      <c r="H112" s="651" t="s">
        <v>67</v>
      </c>
      <c r="I112" s="651" t="s">
        <v>68</v>
      </c>
      <c r="J112" s="664">
        <v>921.6</v>
      </c>
      <c r="K112" s="665">
        <v>33.33</v>
      </c>
      <c r="L112" s="655">
        <f t="shared" si="9"/>
        <v>27.650765076507653</v>
      </c>
      <c r="M112" s="666">
        <v>60</v>
      </c>
      <c r="N112" s="667">
        <f t="shared" si="10"/>
        <v>15.360000000000001</v>
      </c>
      <c r="O112" s="668">
        <f t="shared" ca="1" si="11"/>
        <v>208</v>
      </c>
      <c r="P112" s="655">
        <f t="shared" ca="1" si="12"/>
        <v>-2273.2800000000002</v>
      </c>
      <c r="Q112" s="667">
        <f t="shared" ca="1" si="13"/>
        <v>1</v>
      </c>
      <c r="R112" s="669" t="s">
        <v>20</v>
      </c>
    </row>
    <row r="113" spans="2:18" ht="57" x14ac:dyDescent="0.25">
      <c r="B113" s="661">
        <v>39051</v>
      </c>
      <c r="C113" s="662" t="s">
        <v>2351</v>
      </c>
      <c r="D113" s="669" t="s">
        <v>81</v>
      </c>
      <c r="E113" s="651" t="s">
        <v>182</v>
      </c>
      <c r="F113" s="663" t="s">
        <v>143</v>
      </c>
      <c r="G113" s="651" t="s">
        <v>28</v>
      </c>
      <c r="H113" s="651" t="s">
        <v>67</v>
      </c>
      <c r="I113" s="651" t="s">
        <v>68</v>
      </c>
      <c r="J113" s="664">
        <v>921.6</v>
      </c>
      <c r="K113" s="665">
        <v>33.33</v>
      </c>
      <c r="L113" s="655">
        <f t="shared" si="9"/>
        <v>27.650765076507653</v>
      </c>
      <c r="M113" s="666">
        <v>60</v>
      </c>
      <c r="N113" s="667">
        <f t="shared" si="10"/>
        <v>15.360000000000001</v>
      </c>
      <c r="O113" s="668">
        <f t="shared" ca="1" si="11"/>
        <v>208</v>
      </c>
      <c r="P113" s="655">
        <f t="shared" ca="1" si="12"/>
        <v>-2273.2800000000002</v>
      </c>
      <c r="Q113" s="667">
        <f t="shared" ca="1" si="13"/>
        <v>1</v>
      </c>
      <c r="R113" s="669" t="s">
        <v>20</v>
      </c>
    </row>
    <row r="114" spans="2:18" ht="57" x14ac:dyDescent="0.25">
      <c r="B114" s="661">
        <v>39051</v>
      </c>
      <c r="C114" s="662" t="s">
        <v>2351</v>
      </c>
      <c r="D114" s="669" t="s">
        <v>81</v>
      </c>
      <c r="E114" s="651" t="s">
        <v>183</v>
      </c>
      <c r="F114" s="663" t="s">
        <v>143</v>
      </c>
      <c r="G114" s="651" t="s">
        <v>28</v>
      </c>
      <c r="H114" s="651" t="s">
        <v>67</v>
      </c>
      <c r="I114" s="651" t="s">
        <v>68</v>
      </c>
      <c r="J114" s="664">
        <v>921.6</v>
      </c>
      <c r="K114" s="665">
        <v>33.33</v>
      </c>
      <c r="L114" s="655">
        <f t="shared" si="9"/>
        <v>27.650765076507653</v>
      </c>
      <c r="M114" s="666">
        <v>60</v>
      </c>
      <c r="N114" s="667">
        <f t="shared" si="10"/>
        <v>15.360000000000001</v>
      </c>
      <c r="O114" s="668">
        <f t="shared" ca="1" si="11"/>
        <v>208</v>
      </c>
      <c r="P114" s="655">
        <f t="shared" ca="1" si="12"/>
        <v>-2273.2800000000002</v>
      </c>
      <c r="Q114" s="667">
        <f t="shared" ca="1" si="13"/>
        <v>1</v>
      </c>
      <c r="R114" s="669" t="s">
        <v>20</v>
      </c>
    </row>
    <row r="115" spans="2:18" ht="57" x14ac:dyDescent="0.25">
      <c r="B115" s="661">
        <v>39051</v>
      </c>
      <c r="C115" s="662" t="s">
        <v>2351</v>
      </c>
      <c r="D115" s="669" t="s">
        <v>81</v>
      </c>
      <c r="E115" s="651" t="s">
        <v>184</v>
      </c>
      <c r="F115" s="663" t="s">
        <v>143</v>
      </c>
      <c r="G115" s="651" t="s">
        <v>28</v>
      </c>
      <c r="H115" s="651" t="s">
        <v>67</v>
      </c>
      <c r="I115" s="651" t="s">
        <v>68</v>
      </c>
      <c r="J115" s="664">
        <v>921.6</v>
      </c>
      <c r="K115" s="665">
        <v>33.33</v>
      </c>
      <c r="L115" s="655">
        <f t="shared" si="9"/>
        <v>27.650765076507653</v>
      </c>
      <c r="M115" s="666">
        <v>60</v>
      </c>
      <c r="N115" s="667">
        <f t="shared" si="10"/>
        <v>15.360000000000001</v>
      </c>
      <c r="O115" s="668">
        <f t="shared" ca="1" si="11"/>
        <v>208</v>
      </c>
      <c r="P115" s="655">
        <f t="shared" ca="1" si="12"/>
        <v>-2273.2800000000002</v>
      </c>
      <c r="Q115" s="667">
        <f t="shared" ca="1" si="13"/>
        <v>1</v>
      </c>
      <c r="R115" s="669" t="s">
        <v>20</v>
      </c>
    </row>
    <row r="116" spans="2:18" ht="57" x14ac:dyDescent="0.25">
      <c r="B116" s="661">
        <v>39051</v>
      </c>
      <c r="C116" s="662" t="s">
        <v>2351</v>
      </c>
      <c r="D116" s="669" t="s">
        <v>81</v>
      </c>
      <c r="E116" s="651" t="s">
        <v>185</v>
      </c>
      <c r="F116" s="663" t="s">
        <v>143</v>
      </c>
      <c r="G116" s="651" t="s">
        <v>28</v>
      </c>
      <c r="H116" s="651" t="s">
        <v>67</v>
      </c>
      <c r="I116" s="651" t="s">
        <v>68</v>
      </c>
      <c r="J116" s="664">
        <v>921.6</v>
      </c>
      <c r="K116" s="665">
        <v>33.33</v>
      </c>
      <c r="L116" s="655">
        <f t="shared" si="9"/>
        <v>27.650765076507653</v>
      </c>
      <c r="M116" s="666">
        <v>60</v>
      </c>
      <c r="N116" s="667">
        <f t="shared" si="10"/>
        <v>15.360000000000001</v>
      </c>
      <c r="O116" s="668">
        <f t="shared" ca="1" si="11"/>
        <v>208</v>
      </c>
      <c r="P116" s="655">
        <f t="shared" ca="1" si="12"/>
        <v>-2273.2800000000002</v>
      </c>
      <c r="Q116" s="667">
        <f t="shared" ca="1" si="13"/>
        <v>1</v>
      </c>
      <c r="R116" s="669" t="s">
        <v>20</v>
      </c>
    </row>
    <row r="117" spans="2:18" ht="57" x14ac:dyDescent="0.25">
      <c r="B117" s="661">
        <v>39051</v>
      </c>
      <c r="C117" s="662" t="s">
        <v>2351</v>
      </c>
      <c r="D117" s="669" t="s">
        <v>81</v>
      </c>
      <c r="E117" s="651" t="s">
        <v>186</v>
      </c>
      <c r="F117" s="663" t="s">
        <v>143</v>
      </c>
      <c r="G117" s="651" t="s">
        <v>28</v>
      </c>
      <c r="H117" s="651" t="s">
        <v>67</v>
      </c>
      <c r="I117" s="651" t="s">
        <v>68</v>
      </c>
      <c r="J117" s="664">
        <v>921.6</v>
      </c>
      <c r="K117" s="665">
        <v>33.33</v>
      </c>
      <c r="L117" s="655">
        <f t="shared" si="9"/>
        <v>27.650765076507653</v>
      </c>
      <c r="M117" s="666">
        <v>60</v>
      </c>
      <c r="N117" s="667">
        <f t="shared" si="10"/>
        <v>15.360000000000001</v>
      </c>
      <c r="O117" s="668">
        <f t="shared" ca="1" si="11"/>
        <v>208</v>
      </c>
      <c r="P117" s="655">
        <f t="shared" ca="1" si="12"/>
        <v>-2273.2800000000002</v>
      </c>
      <c r="Q117" s="667">
        <f t="shared" ca="1" si="13"/>
        <v>1</v>
      </c>
      <c r="R117" s="669" t="s">
        <v>20</v>
      </c>
    </row>
    <row r="118" spans="2:18" ht="57" x14ac:dyDescent="0.25">
      <c r="B118" s="661">
        <v>39051</v>
      </c>
      <c r="C118" s="662" t="s">
        <v>2351</v>
      </c>
      <c r="D118" s="669" t="s">
        <v>81</v>
      </c>
      <c r="E118" s="651" t="s">
        <v>188</v>
      </c>
      <c r="F118" s="663" t="s">
        <v>187</v>
      </c>
      <c r="G118" s="651" t="s">
        <v>28</v>
      </c>
      <c r="H118" s="651" t="s">
        <v>67</v>
      </c>
      <c r="I118" s="651" t="s">
        <v>68</v>
      </c>
      <c r="J118" s="664">
        <v>4501.6000000000004</v>
      </c>
      <c r="K118" s="665">
        <v>33.33</v>
      </c>
      <c r="L118" s="655">
        <f t="shared" si="9"/>
        <v>135.06150615061509</v>
      </c>
      <c r="M118" s="666">
        <v>60</v>
      </c>
      <c r="N118" s="667">
        <f t="shared" si="10"/>
        <v>75.026666666666671</v>
      </c>
      <c r="O118" s="668">
        <f t="shared" ca="1" si="11"/>
        <v>208</v>
      </c>
      <c r="P118" s="655">
        <f t="shared" ca="1" si="12"/>
        <v>-11103.946666666667</v>
      </c>
      <c r="Q118" s="667">
        <f t="shared" ca="1" si="13"/>
        <v>1</v>
      </c>
      <c r="R118" s="669" t="s">
        <v>20</v>
      </c>
    </row>
    <row r="119" spans="2:18" ht="57" x14ac:dyDescent="0.25">
      <c r="B119" s="661">
        <v>39051</v>
      </c>
      <c r="C119" s="662" t="s">
        <v>2351</v>
      </c>
      <c r="D119" s="669" t="s">
        <v>81</v>
      </c>
      <c r="E119" s="651" t="s">
        <v>189</v>
      </c>
      <c r="F119" s="663" t="s">
        <v>187</v>
      </c>
      <c r="G119" s="651" t="s">
        <v>28</v>
      </c>
      <c r="H119" s="651" t="s">
        <v>190</v>
      </c>
      <c r="I119" s="651" t="s">
        <v>68</v>
      </c>
      <c r="J119" s="664">
        <v>4501.6000000000004</v>
      </c>
      <c r="K119" s="665">
        <v>33.33</v>
      </c>
      <c r="L119" s="655">
        <f t="shared" si="9"/>
        <v>135.06150615061509</v>
      </c>
      <c r="M119" s="666">
        <v>60</v>
      </c>
      <c r="N119" s="667">
        <f t="shared" si="10"/>
        <v>75.026666666666671</v>
      </c>
      <c r="O119" s="668">
        <f t="shared" ca="1" si="11"/>
        <v>208</v>
      </c>
      <c r="P119" s="655">
        <f t="shared" ca="1" si="12"/>
        <v>-11103.946666666667</v>
      </c>
      <c r="Q119" s="667">
        <f t="shared" ca="1" si="13"/>
        <v>1</v>
      </c>
      <c r="R119" s="669" t="s">
        <v>20</v>
      </c>
    </row>
    <row r="120" spans="2:18" ht="48" customHeight="1" x14ac:dyDescent="0.25">
      <c r="B120" s="661">
        <v>39211</v>
      </c>
      <c r="C120" s="662" t="s">
        <v>2351</v>
      </c>
      <c r="D120" s="669" t="s">
        <v>191</v>
      </c>
      <c r="E120" s="651" t="s">
        <v>196</v>
      </c>
      <c r="F120" s="663" t="s">
        <v>193</v>
      </c>
      <c r="G120" s="651" t="s">
        <v>28</v>
      </c>
      <c r="H120" s="651" t="s">
        <v>23</v>
      </c>
      <c r="I120" s="651" t="s">
        <v>194</v>
      </c>
      <c r="J120" s="664">
        <v>3825</v>
      </c>
      <c r="K120" s="665">
        <v>33.33</v>
      </c>
      <c r="L120" s="655">
        <f t="shared" si="9"/>
        <v>114.76147614761477</v>
      </c>
      <c r="M120" s="666">
        <v>60</v>
      </c>
      <c r="N120" s="667">
        <f t="shared" si="10"/>
        <v>63.75</v>
      </c>
      <c r="O120" s="668">
        <f t="shared" ca="1" si="11"/>
        <v>203</v>
      </c>
      <c r="P120" s="655">
        <f t="shared" ca="1" si="12"/>
        <v>-9116.25</v>
      </c>
      <c r="Q120" s="667">
        <f t="shared" ca="1" si="13"/>
        <v>1</v>
      </c>
      <c r="R120" s="669" t="s">
        <v>195</v>
      </c>
    </row>
    <row r="121" spans="2:18" ht="48" customHeight="1" x14ac:dyDescent="0.25">
      <c r="B121" s="661">
        <v>39244</v>
      </c>
      <c r="C121" s="662" t="s">
        <v>2351</v>
      </c>
      <c r="D121" s="669" t="s">
        <v>197</v>
      </c>
      <c r="E121" s="651" t="s">
        <v>198</v>
      </c>
      <c r="F121" s="663" t="s">
        <v>199</v>
      </c>
      <c r="G121" s="651" t="s">
        <v>200</v>
      </c>
      <c r="H121" s="651" t="s">
        <v>23</v>
      </c>
      <c r="I121" s="651" t="s">
        <v>194</v>
      </c>
      <c r="J121" s="664">
        <v>35233</v>
      </c>
      <c r="K121" s="665">
        <v>32.340000000000003</v>
      </c>
      <c r="L121" s="655">
        <f t="shared" si="9"/>
        <v>1089.4557823129251</v>
      </c>
      <c r="M121" s="666">
        <v>60</v>
      </c>
      <c r="N121" s="667">
        <f t="shared" si="10"/>
        <v>587.2166666666667</v>
      </c>
      <c r="O121" s="668">
        <f t="shared" ca="1" si="11"/>
        <v>202</v>
      </c>
      <c r="P121" s="655">
        <f t="shared" ca="1" si="12"/>
        <v>-83384.766666666677</v>
      </c>
      <c r="Q121" s="667">
        <f t="shared" ca="1" si="13"/>
        <v>1</v>
      </c>
      <c r="R121" s="669" t="s">
        <v>195</v>
      </c>
    </row>
    <row r="122" spans="2:18" ht="48" customHeight="1" x14ac:dyDescent="0.25">
      <c r="B122" s="661">
        <v>39253</v>
      </c>
      <c r="C122" s="662" t="s">
        <v>2351</v>
      </c>
      <c r="D122" s="669" t="s">
        <v>201</v>
      </c>
      <c r="E122" s="651" t="s">
        <v>202</v>
      </c>
      <c r="F122" s="663" t="s">
        <v>203</v>
      </c>
      <c r="G122" s="651" t="s">
        <v>28</v>
      </c>
      <c r="H122" s="651" t="s">
        <v>204</v>
      </c>
      <c r="I122" s="651" t="s">
        <v>19</v>
      </c>
      <c r="J122" s="664">
        <v>2812</v>
      </c>
      <c r="K122" s="665">
        <v>33.33</v>
      </c>
      <c r="L122" s="655">
        <f t="shared" si="9"/>
        <v>84.368436843684378</v>
      </c>
      <c r="M122" s="666">
        <v>60</v>
      </c>
      <c r="N122" s="667">
        <f t="shared" si="10"/>
        <v>46.866666666666667</v>
      </c>
      <c r="O122" s="668">
        <f t="shared" ca="1" si="11"/>
        <v>202</v>
      </c>
      <c r="P122" s="655">
        <f t="shared" ca="1" si="12"/>
        <v>-6655.0666666666675</v>
      </c>
      <c r="Q122" s="667">
        <f t="shared" ca="1" si="13"/>
        <v>1</v>
      </c>
      <c r="R122" s="669" t="s">
        <v>20</v>
      </c>
    </row>
    <row r="123" spans="2:18" ht="39.950000000000003" customHeight="1" x14ac:dyDescent="0.25">
      <c r="B123" s="661">
        <v>39253</v>
      </c>
      <c r="C123" s="662" t="s">
        <v>2351</v>
      </c>
      <c r="D123" s="669" t="s">
        <v>201</v>
      </c>
      <c r="E123" s="651" t="s">
        <v>205</v>
      </c>
      <c r="F123" s="663" t="s">
        <v>206</v>
      </c>
      <c r="G123" s="651" t="s">
        <v>28</v>
      </c>
      <c r="H123" s="651" t="s">
        <v>204</v>
      </c>
      <c r="I123" s="651" t="s">
        <v>19</v>
      </c>
      <c r="J123" s="664">
        <v>7389.6</v>
      </c>
      <c r="K123" s="665">
        <v>32.42</v>
      </c>
      <c r="L123" s="655">
        <f t="shared" si="9"/>
        <v>227.93337446020973</v>
      </c>
      <c r="M123" s="666">
        <v>60</v>
      </c>
      <c r="N123" s="667">
        <f t="shared" si="10"/>
        <v>123.16000000000001</v>
      </c>
      <c r="O123" s="668">
        <f t="shared" ca="1" si="11"/>
        <v>202</v>
      </c>
      <c r="P123" s="655">
        <f t="shared" ca="1" si="12"/>
        <v>-17488.72</v>
      </c>
      <c r="Q123" s="667">
        <f t="shared" ca="1" si="13"/>
        <v>1</v>
      </c>
      <c r="R123" s="669" t="s">
        <v>20</v>
      </c>
    </row>
    <row r="124" spans="2:18" ht="39.950000000000003" customHeight="1" x14ac:dyDescent="0.25">
      <c r="B124" s="661">
        <v>39253</v>
      </c>
      <c r="C124" s="662" t="s">
        <v>2351</v>
      </c>
      <c r="D124" s="669" t="s">
        <v>201</v>
      </c>
      <c r="E124" s="651" t="s">
        <v>207</v>
      </c>
      <c r="F124" s="663" t="s">
        <v>206</v>
      </c>
      <c r="G124" s="651" t="s">
        <v>28</v>
      </c>
      <c r="H124" s="651" t="s">
        <v>204</v>
      </c>
      <c r="I124" s="651" t="s">
        <v>19</v>
      </c>
      <c r="J124" s="664">
        <v>7389.6</v>
      </c>
      <c r="K124" s="665">
        <v>32.42</v>
      </c>
      <c r="L124" s="655">
        <f t="shared" si="9"/>
        <v>227.93337446020973</v>
      </c>
      <c r="M124" s="666">
        <v>60</v>
      </c>
      <c r="N124" s="667">
        <f t="shared" si="10"/>
        <v>123.16000000000001</v>
      </c>
      <c r="O124" s="668">
        <f t="shared" ca="1" si="11"/>
        <v>202</v>
      </c>
      <c r="P124" s="655">
        <f t="shared" ca="1" si="12"/>
        <v>-17488.72</v>
      </c>
      <c r="Q124" s="667">
        <f t="shared" ca="1" si="13"/>
        <v>1</v>
      </c>
      <c r="R124" s="669" t="s">
        <v>20</v>
      </c>
    </row>
    <row r="125" spans="2:18" ht="39.950000000000003" customHeight="1" x14ac:dyDescent="0.25">
      <c r="B125" s="661">
        <v>39273</v>
      </c>
      <c r="C125" s="662" t="s">
        <v>2351</v>
      </c>
      <c r="D125" s="669" t="s">
        <v>208</v>
      </c>
      <c r="E125" s="651" t="s">
        <v>209</v>
      </c>
      <c r="F125" s="663" t="s">
        <v>210</v>
      </c>
      <c r="G125" s="651" t="s">
        <v>28</v>
      </c>
      <c r="H125" s="651" t="s">
        <v>79</v>
      </c>
      <c r="I125" s="651" t="s">
        <v>80</v>
      </c>
      <c r="J125" s="664">
        <v>12180</v>
      </c>
      <c r="K125" s="665">
        <v>32.42</v>
      </c>
      <c r="L125" s="655">
        <f t="shared" si="9"/>
        <v>375.69401603948177</v>
      </c>
      <c r="M125" s="666">
        <v>60</v>
      </c>
      <c r="N125" s="667">
        <f t="shared" si="10"/>
        <v>203</v>
      </c>
      <c r="O125" s="668">
        <f t="shared" ca="1" si="11"/>
        <v>201</v>
      </c>
      <c r="P125" s="655">
        <f t="shared" ca="1" si="12"/>
        <v>-28623</v>
      </c>
      <c r="Q125" s="667">
        <f t="shared" ca="1" si="13"/>
        <v>1</v>
      </c>
      <c r="R125" s="669" t="s">
        <v>211</v>
      </c>
    </row>
    <row r="126" spans="2:18" ht="39.950000000000003" customHeight="1" x14ac:dyDescent="0.25">
      <c r="B126" s="661">
        <v>39273</v>
      </c>
      <c r="C126" s="662" t="s">
        <v>2351</v>
      </c>
      <c r="D126" s="669" t="s">
        <v>208</v>
      </c>
      <c r="E126" s="651" t="s">
        <v>212</v>
      </c>
      <c r="F126" s="663" t="s">
        <v>210</v>
      </c>
      <c r="G126" s="651" t="s">
        <v>28</v>
      </c>
      <c r="H126" s="651" t="s">
        <v>213</v>
      </c>
      <c r="I126" s="651" t="s">
        <v>214</v>
      </c>
      <c r="J126" s="670">
        <v>12180</v>
      </c>
      <c r="K126" s="665">
        <v>33.19</v>
      </c>
      <c r="L126" s="655">
        <f t="shared" si="9"/>
        <v>366.97800542332033</v>
      </c>
      <c r="M126" s="666">
        <v>60</v>
      </c>
      <c r="N126" s="667">
        <f t="shared" si="10"/>
        <v>203</v>
      </c>
      <c r="O126" s="668">
        <f t="shared" ca="1" si="11"/>
        <v>201</v>
      </c>
      <c r="P126" s="655">
        <f t="shared" ca="1" si="12"/>
        <v>-28623</v>
      </c>
      <c r="Q126" s="667">
        <f t="shared" ca="1" si="13"/>
        <v>1</v>
      </c>
      <c r="R126" s="669" t="s">
        <v>211</v>
      </c>
    </row>
    <row r="127" spans="2:18" ht="39.950000000000003" customHeight="1" x14ac:dyDescent="0.25">
      <c r="B127" s="661">
        <v>39273</v>
      </c>
      <c r="C127" s="662" t="s">
        <v>2351</v>
      </c>
      <c r="D127" s="669" t="s">
        <v>208</v>
      </c>
      <c r="E127" s="651" t="s">
        <v>215</v>
      </c>
      <c r="F127" s="663" t="s">
        <v>210</v>
      </c>
      <c r="G127" s="651" t="s">
        <v>28</v>
      </c>
      <c r="H127" s="651" t="s">
        <v>23</v>
      </c>
      <c r="I127" s="651" t="s">
        <v>216</v>
      </c>
      <c r="J127" s="670">
        <v>12180</v>
      </c>
      <c r="K127" s="665">
        <v>33.19</v>
      </c>
      <c r="L127" s="655">
        <f t="shared" si="9"/>
        <v>366.97800542332033</v>
      </c>
      <c r="M127" s="666">
        <v>60</v>
      </c>
      <c r="N127" s="667">
        <f t="shared" si="10"/>
        <v>203</v>
      </c>
      <c r="O127" s="668">
        <f t="shared" ca="1" si="11"/>
        <v>201</v>
      </c>
      <c r="P127" s="655">
        <f t="shared" ca="1" si="12"/>
        <v>-28623</v>
      </c>
      <c r="Q127" s="667">
        <f t="shared" ca="1" si="13"/>
        <v>1</v>
      </c>
      <c r="R127" s="669" t="s">
        <v>211</v>
      </c>
    </row>
    <row r="128" spans="2:18" ht="39.950000000000003" customHeight="1" x14ac:dyDescent="0.25">
      <c r="B128" s="661">
        <v>39273</v>
      </c>
      <c r="C128" s="662" t="s">
        <v>2351</v>
      </c>
      <c r="D128" s="669" t="s">
        <v>208</v>
      </c>
      <c r="E128" s="651" t="s">
        <v>217</v>
      </c>
      <c r="F128" s="663" t="s">
        <v>210</v>
      </c>
      <c r="G128" s="651" t="s">
        <v>28</v>
      </c>
      <c r="H128" s="651" t="s">
        <v>218</v>
      </c>
      <c r="I128" s="651" t="s">
        <v>219</v>
      </c>
      <c r="J128" s="664">
        <v>12180</v>
      </c>
      <c r="K128" s="665">
        <v>33.19</v>
      </c>
      <c r="L128" s="655">
        <f t="shared" si="9"/>
        <v>366.97800542332033</v>
      </c>
      <c r="M128" s="666">
        <v>60</v>
      </c>
      <c r="N128" s="667">
        <f t="shared" si="10"/>
        <v>203</v>
      </c>
      <c r="O128" s="668">
        <f t="shared" ca="1" si="11"/>
        <v>201</v>
      </c>
      <c r="P128" s="655">
        <f t="shared" ca="1" si="12"/>
        <v>-28623</v>
      </c>
      <c r="Q128" s="667">
        <f t="shared" ca="1" si="13"/>
        <v>1</v>
      </c>
      <c r="R128" s="669" t="s">
        <v>211</v>
      </c>
    </row>
    <row r="129" spans="2:18" ht="39.950000000000003" customHeight="1" x14ac:dyDescent="0.25">
      <c r="B129" s="661">
        <v>39554</v>
      </c>
      <c r="C129" s="662" t="s">
        <v>2351</v>
      </c>
      <c r="D129" s="669" t="s">
        <v>220</v>
      </c>
      <c r="E129" s="651" t="s">
        <v>221</v>
      </c>
      <c r="F129" s="663" t="s">
        <v>210</v>
      </c>
      <c r="G129" s="651" t="s">
        <v>28</v>
      </c>
      <c r="H129" s="651" t="s">
        <v>23</v>
      </c>
      <c r="I129" s="651" t="s">
        <v>222</v>
      </c>
      <c r="J129" s="664">
        <v>15225</v>
      </c>
      <c r="K129" s="665">
        <v>34.130000000000003</v>
      </c>
      <c r="L129" s="655">
        <f t="shared" si="9"/>
        <v>446.08848520363313</v>
      </c>
      <c r="M129" s="666">
        <v>60</v>
      </c>
      <c r="N129" s="667">
        <f t="shared" si="10"/>
        <v>253.75</v>
      </c>
      <c r="O129" s="668">
        <f t="shared" ca="1" si="11"/>
        <v>192</v>
      </c>
      <c r="P129" s="655">
        <f t="shared" ca="1" si="12"/>
        <v>-33495</v>
      </c>
      <c r="Q129" s="667">
        <f t="shared" ca="1" si="13"/>
        <v>1</v>
      </c>
      <c r="R129" s="669" t="s">
        <v>211</v>
      </c>
    </row>
    <row r="130" spans="2:18" ht="39.950000000000003" customHeight="1" x14ac:dyDescent="0.25">
      <c r="B130" s="661">
        <v>39554</v>
      </c>
      <c r="C130" s="662" t="s">
        <v>2351</v>
      </c>
      <c r="D130" s="669" t="s">
        <v>220</v>
      </c>
      <c r="E130" s="651" t="s">
        <v>223</v>
      </c>
      <c r="F130" s="663" t="s">
        <v>210</v>
      </c>
      <c r="G130" s="651" t="s">
        <v>28</v>
      </c>
      <c r="H130" s="651" t="s">
        <v>23</v>
      </c>
      <c r="I130" s="651" t="s">
        <v>222</v>
      </c>
      <c r="J130" s="664">
        <v>15225</v>
      </c>
      <c r="K130" s="665">
        <v>34.130000000000003</v>
      </c>
      <c r="L130" s="655">
        <f t="shared" si="9"/>
        <v>446.08848520363313</v>
      </c>
      <c r="M130" s="666">
        <v>60</v>
      </c>
      <c r="N130" s="667">
        <f t="shared" si="10"/>
        <v>253.75</v>
      </c>
      <c r="O130" s="668">
        <f t="shared" ca="1" si="11"/>
        <v>192</v>
      </c>
      <c r="P130" s="655">
        <f t="shared" ca="1" si="12"/>
        <v>-33495</v>
      </c>
      <c r="Q130" s="667">
        <f t="shared" ca="1" si="13"/>
        <v>1</v>
      </c>
      <c r="R130" s="669" t="s">
        <v>211</v>
      </c>
    </row>
    <row r="131" spans="2:18" ht="39.950000000000003" customHeight="1" x14ac:dyDescent="0.25">
      <c r="B131" s="661">
        <v>39554</v>
      </c>
      <c r="C131" s="662" t="s">
        <v>2351</v>
      </c>
      <c r="D131" s="669" t="s">
        <v>220</v>
      </c>
      <c r="E131" s="651" t="s">
        <v>224</v>
      </c>
      <c r="F131" s="663" t="s">
        <v>210</v>
      </c>
      <c r="G131" s="651" t="s">
        <v>28</v>
      </c>
      <c r="H131" s="651" t="s">
        <v>23</v>
      </c>
      <c r="I131" s="651" t="s">
        <v>222</v>
      </c>
      <c r="J131" s="664">
        <v>15225</v>
      </c>
      <c r="K131" s="665">
        <v>34.130000000000003</v>
      </c>
      <c r="L131" s="655">
        <f t="shared" ref="L131:L180" si="14">+J131/K131</f>
        <v>446.08848520363313</v>
      </c>
      <c r="M131" s="666">
        <v>60</v>
      </c>
      <c r="N131" s="667">
        <f t="shared" ref="N131:N180" si="15">IF(AND(J131&lt;&gt;0,M131&lt;&gt;0),J131/M131,0)</f>
        <v>253.75</v>
      </c>
      <c r="O131" s="668">
        <f t="shared" ref="O131:O180" ca="1" si="16">IF(B131&lt;&gt;0,(ROUND((NOW()-B131)/30,0)),0)</f>
        <v>192</v>
      </c>
      <c r="P131" s="655">
        <f t="shared" ca="1" si="12"/>
        <v>-33495</v>
      </c>
      <c r="Q131" s="667">
        <f t="shared" ca="1" si="13"/>
        <v>1</v>
      </c>
      <c r="R131" s="669" t="s">
        <v>211</v>
      </c>
    </row>
    <row r="132" spans="2:18" ht="39.950000000000003" customHeight="1" x14ac:dyDescent="0.25">
      <c r="B132" s="661">
        <v>39554</v>
      </c>
      <c r="C132" s="662" t="s">
        <v>2351</v>
      </c>
      <c r="D132" s="669" t="s">
        <v>220</v>
      </c>
      <c r="E132" s="651" t="s">
        <v>226</v>
      </c>
      <c r="F132" s="663" t="s">
        <v>227</v>
      </c>
      <c r="G132" s="651" t="s">
        <v>28</v>
      </c>
      <c r="H132" s="651" t="s">
        <v>23</v>
      </c>
      <c r="I132" s="651" t="s">
        <v>222</v>
      </c>
      <c r="J132" s="664">
        <v>20648</v>
      </c>
      <c r="K132" s="665">
        <v>34.130000000000003</v>
      </c>
      <c r="L132" s="655">
        <f t="shared" si="14"/>
        <v>604.98095517140337</v>
      </c>
      <c r="M132" s="666">
        <v>60</v>
      </c>
      <c r="N132" s="667">
        <f t="shared" si="15"/>
        <v>344.13333333333333</v>
      </c>
      <c r="O132" s="668">
        <f t="shared" ca="1" si="16"/>
        <v>192</v>
      </c>
      <c r="P132" s="655">
        <f t="shared" ref="P132:P180" ca="1" si="17">IF(OR(J132=0,M132=0,O132=0),0,J132-(N132*O132))</f>
        <v>-45425.600000000006</v>
      </c>
      <c r="Q132" s="667">
        <f t="shared" ca="1" si="13"/>
        <v>1</v>
      </c>
      <c r="R132" s="669" t="s">
        <v>211</v>
      </c>
    </row>
    <row r="133" spans="2:18" ht="39.950000000000003" customHeight="1" x14ac:dyDescent="0.25">
      <c r="B133" s="661">
        <v>39556</v>
      </c>
      <c r="C133" s="662" t="s">
        <v>2351</v>
      </c>
      <c r="D133" s="669" t="s">
        <v>225</v>
      </c>
      <c r="E133" s="651" t="s">
        <v>228</v>
      </c>
      <c r="F133" s="663" t="s">
        <v>229</v>
      </c>
      <c r="G133" s="651" t="s">
        <v>28</v>
      </c>
      <c r="H133" s="651" t="s">
        <v>23</v>
      </c>
      <c r="I133" s="651" t="s">
        <v>222</v>
      </c>
      <c r="J133" s="664">
        <v>5852</v>
      </c>
      <c r="K133" s="665">
        <v>34.090000000000003</v>
      </c>
      <c r="L133" s="655">
        <f t="shared" si="14"/>
        <v>171.66324435318273</v>
      </c>
      <c r="M133" s="666">
        <v>60</v>
      </c>
      <c r="N133" s="667">
        <f t="shared" si="15"/>
        <v>97.533333333333331</v>
      </c>
      <c r="O133" s="668">
        <f t="shared" ca="1" si="16"/>
        <v>192</v>
      </c>
      <c r="P133" s="655">
        <f t="shared" ca="1" si="17"/>
        <v>-12874.400000000001</v>
      </c>
      <c r="Q133" s="667">
        <f t="shared" ca="1" si="13"/>
        <v>1</v>
      </c>
      <c r="R133" s="669" t="s">
        <v>211</v>
      </c>
    </row>
    <row r="134" spans="2:18" ht="39.950000000000003" customHeight="1" x14ac:dyDescent="0.25">
      <c r="B134" s="661">
        <v>39556</v>
      </c>
      <c r="C134" s="662" t="s">
        <v>2351</v>
      </c>
      <c r="D134" s="669" t="s">
        <v>225</v>
      </c>
      <c r="E134" s="651" t="s">
        <v>230</v>
      </c>
      <c r="F134" s="663" t="s">
        <v>229</v>
      </c>
      <c r="G134" s="651" t="s">
        <v>28</v>
      </c>
      <c r="H134" s="651" t="s">
        <v>23</v>
      </c>
      <c r="I134" s="651" t="s">
        <v>222</v>
      </c>
      <c r="J134" s="664">
        <v>5852</v>
      </c>
      <c r="K134" s="665">
        <v>34.090000000000003</v>
      </c>
      <c r="L134" s="655">
        <f t="shared" si="14"/>
        <v>171.66324435318273</v>
      </c>
      <c r="M134" s="666">
        <v>60</v>
      </c>
      <c r="N134" s="667">
        <f t="shared" si="15"/>
        <v>97.533333333333331</v>
      </c>
      <c r="O134" s="668">
        <f t="shared" ca="1" si="16"/>
        <v>192</v>
      </c>
      <c r="P134" s="655">
        <f t="shared" ca="1" si="17"/>
        <v>-12874.400000000001</v>
      </c>
      <c r="Q134" s="667">
        <f t="shared" ca="1" si="13"/>
        <v>1</v>
      </c>
      <c r="R134" s="669" t="s">
        <v>211</v>
      </c>
    </row>
    <row r="135" spans="2:18" ht="39.950000000000003" customHeight="1" x14ac:dyDescent="0.25">
      <c r="B135" s="661">
        <v>39556</v>
      </c>
      <c r="C135" s="662" t="s">
        <v>2351</v>
      </c>
      <c r="D135" s="669" t="s">
        <v>225</v>
      </c>
      <c r="E135" s="651" t="s">
        <v>231</v>
      </c>
      <c r="F135" s="663" t="s">
        <v>229</v>
      </c>
      <c r="G135" s="651" t="s">
        <v>28</v>
      </c>
      <c r="H135" s="651" t="s">
        <v>23</v>
      </c>
      <c r="I135" s="651" t="s">
        <v>222</v>
      </c>
      <c r="J135" s="664">
        <v>5852</v>
      </c>
      <c r="K135" s="665">
        <v>34.090000000000003</v>
      </c>
      <c r="L135" s="655">
        <f t="shared" si="14"/>
        <v>171.66324435318273</v>
      </c>
      <c r="M135" s="666">
        <v>60</v>
      </c>
      <c r="N135" s="667">
        <f t="shared" si="15"/>
        <v>97.533333333333331</v>
      </c>
      <c r="O135" s="668">
        <f t="shared" ca="1" si="16"/>
        <v>192</v>
      </c>
      <c r="P135" s="655">
        <f t="shared" ca="1" si="17"/>
        <v>-12874.400000000001</v>
      </c>
      <c r="Q135" s="667">
        <f t="shared" ca="1" si="13"/>
        <v>1</v>
      </c>
      <c r="R135" s="669" t="s">
        <v>211</v>
      </c>
    </row>
    <row r="136" spans="2:18" ht="39.950000000000003" customHeight="1" x14ac:dyDescent="0.25">
      <c r="B136" s="661">
        <v>39556</v>
      </c>
      <c r="C136" s="662" t="s">
        <v>2351</v>
      </c>
      <c r="D136" s="669" t="s">
        <v>225</v>
      </c>
      <c r="E136" s="651" t="s">
        <v>232</v>
      </c>
      <c r="F136" s="663" t="s">
        <v>229</v>
      </c>
      <c r="G136" s="651" t="s">
        <v>28</v>
      </c>
      <c r="H136" s="651" t="s">
        <v>23</v>
      </c>
      <c r="I136" s="651" t="s">
        <v>222</v>
      </c>
      <c r="J136" s="664">
        <v>5852</v>
      </c>
      <c r="K136" s="665">
        <v>34.090000000000003</v>
      </c>
      <c r="L136" s="655">
        <f t="shared" si="14"/>
        <v>171.66324435318273</v>
      </c>
      <c r="M136" s="666">
        <v>60</v>
      </c>
      <c r="N136" s="667">
        <f t="shared" si="15"/>
        <v>97.533333333333331</v>
      </c>
      <c r="O136" s="668">
        <f t="shared" ca="1" si="16"/>
        <v>192</v>
      </c>
      <c r="P136" s="655">
        <f t="shared" ca="1" si="17"/>
        <v>-12874.400000000001</v>
      </c>
      <c r="Q136" s="667">
        <f t="shared" ref="Q136:Q199" ca="1" si="18">IF(P136&lt;1,1,P136)</f>
        <v>1</v>
      </c>
      <c r="R136" s="669" t="s">
        <v>211</v>
      </c>
    </row>
    <row r="137" spans="2:18" ht="39.950000000000003" customHeight="1" x14ac:dyDescent="0.25">
      <c r="B137" s="661">
        <v>39556</v>
      </c>
      <c r="C137" s="662" t="s">
        <v>2351</v>
      </c>
      <c r="D137" s="669" t="s">
        <v>225</v>
      </c>
      <c r="E137" s="651" t="s">
        <v>233</v>
      </c>
      <c r="F137" s="663" t="s">
        <v>229</v>
      </c>
      <c r="G137" s="651" t="s">
        <v>28</v>
      </c>
      <c r="H137" s="651" t="s">
        <v>23</v>
      </c>
      <c r="I137" s="651" t="s">
        <v>222</v>
      </c>
      <c r="J137" s="664">
        <v>5852</v>
      </c>
      <c r="K137" s="665">
        <v>34.090000000000003</v>
      </c>
      <c r="L137" s="655">
        <f t="shared" si="14"/>
        <v>171.66324435318273</v>
      </c>
      <c r="M137" s="666">
        <v>60</v>
      </c>
      <c r="N137" s="667">
        <f t="shared" si="15"/>
        <v>97.533333333333331</v>
      </c>
      <c r="O137" s="668">
        <f t="shared" ca="1" si="16"/>
        <v>192</v>
      </c>
      <c r="P137" s="655">
        <f t="shared" ca="1" si="17"/>
        <v>-12874.400000000001</v>
      </c>
      <c r="Q137" s="667">
        <f t="shared" ca="1" si="18"/>
        <v>1</v>
      </c>
      <c r="R137" s="669" t="s">
        <v>211</v>
      </c>
    </row>
    <row r="138" spans="2:18" ht="39.950000000000003" customHeight="1" x14ac:dyDescent="0.25">
      <c r="B138" s="661">
        <v>39556</v>
      </c>
      <c r="C138" s="662" t="s">
        <v>2351</v>
      </c>
      <c r="D138" s="669" t="s">
        <v>225</v>
      </c>
      <c r="E138" s="651" t="s">
        <v>234</v>
      </c>
      <c r="F138" s="663" t="s">
        <v>229</v>
      </c>
      <c r="G138" s="651" t="s">
        <v>28</v>
      </c>
      <c r="H138" s="651" t="s">
        <v>23</v>
      </c>
      <c r="I138" s="651" t="s">
        <v>222</v>
      </c>
      <c r="J138" s="664">
        <v>5852</v>
      </c>
      <c r="K138" s="665">
        <v>34.090000000000003</v>
      </c>
      <c r="L138" s="655">
        <f t="shared" si="14"/>
        <v>171.66324435318273</v>
      </c>
      <c r="M138" s="666">
        <v>60</v>
      </c>
      <c r="N138" s="667">
        <f t="shared" si="15"/>
        <v>97.533333333333331</v>
      </c>
      <c r="O138" s="668">
        <f t="shared" ca="1" si="16"/>
        <v>192</v>
      </c>
      <c r="P138" s="655">
        <f t="shared" ca="1" si="17"/>
        <v>-12874.400000000001</v>
      </c>
      <c r="Q138" s="667">
        <f t="shared" ca="1" si="18"/>
        <v>1</v>
      </c>
      <c r="R138" s="669" t="s">
        <v>211</v>
      </c>
    </row>
    <row r="139" spans="2:18" ht="39.950000000000003" customHeight="1" x14ac:dyDescent="0.25">
      <c r="B139" s="661">
        <v>39556</v>
      </c>
      <c r="C139" s="662" t="s">
        <v>2351</v>
      </c>
      <c r="D139" s="669" t="s">
        <v>225</v>
      </c>
      <c r="E139" s="651" t="s">
        <v>235</v>
      </c>
      <c r="F139" s="663" t="s">
        <v>229</v>
      </c>
      <c r="G139" s="651" t="s">
        <v>28</v>
      </c>
      <c r="H139" s="651" t="s">
        <v>23</v>
      </c>
      <c r="I139" s="651" t="s">
        <v>222</v>
      </c>
      <c r="J139" s="664">
        <v>5852</v>
      </c>
      <c r="K139" s="665">
        <v>34.090000000000003</v>
      </c>
      <c r="L139" s="655">
        <f t="shared" si="14"/>
        <v>171.66324435318273</v>
      </c>
      <c r="M139" s="666">
        <v>60</v>
      </c>
      <c r="N139" s="667">
        <f t="shared" si="15"/>
        <v>97.533333333333331</v>
      </c>
      <c r="O139" s="668">
        <f t="shared" ca="1" si="16"/>
        <v>192</v>
      </c>
      <c r="P139" s="655">
        <f t="shared" ca="1" si="17"/>
        <v>-12874.400000000001</v>
      </c>
      <c r="Q139" s="667">
        <f t="shared" ca="1" si="18"/>
        <v>1</v>
      </c>
      <c r="R139" s="669" t="s">
        <v>211</v>
      </c>
    </row>
    <row r="140" spans="2:18" ht="39.950000000000003" customHeight="1" x14ac:dyDescent="0.25">
      <c r="B140" s="661">
        <v>39556</v>
      </c>
      <c r="C140" s="662" t="s">
        <v>2351</v>
      </c>
      <c r="D140" s="669" t="s">
        <v>225</v>
      </c>
      <c r="E140" s="651" t="s">
        <v>236</v>
      </c>
      <c r="F140" s="663" t="s">
        <v>229</v>
      </c>
      <c r="G140" s="651" t="s">
        <v>28</v>
      </c>
      <c r="H140" s="651" t="s">
        <v>23</v>
      </c>
      <c r="I140" s="651" t="s">
        <v>222</v>
      </c>
      <c r="J140" s="664">
        <v>5852</v>
      </c>
      <c r="K140" s="665">
        <v>34.090000000000003</v>
      </c>
      <c r="L140" s="655">
        <f t="shared" si="14"/>
        <v>171.66324435318273</v>
      </c>
      <c r="M140" s="666">
        <v>60</v>
      </c>
      <c r="N140" s="667">
        <f t="shared" si="15"/>
        <v>97.533333333333331</v>
      </c>
      <c r="O140" s="668">
        <f t="shared" ca="1" si="16"/>
        <v>192</v>
      </c>
      <c r="P140" s="655">
        <f t="shared" ca="1" si="17"/>
        <v>-12874.400000000001</v>
      </c>
      <c r="Q140" s="667">
        <f t="shared" ca="1" si="18"/>
        <v>1</v>
      </c>
      <c r="R140" s="669" t="s">
        <v>211</v>
      </c>
    </row>
    <row r="141" spans="2:18" ht="39.950000000000003" customHeight="1" x14ac:dyDescent="0.25">
      <c r="B141" s="661">
        <v>39556</v>
      </c>
      <c r="C141" s="662" t="s">
        <v>2351</v>
      </c>
      <c r="D141" s="669" t="s">
        <v>225</v>
      </c>
      <c r="E141" s="651" t="s">
        <v>237</v>
      </c>
      <c r="F141" s="663" t="s">
        <v>238</v>
      </c>
      <c r="G141" s="651" t="s">
        <v>28</v>
      </c>
      <c r="H141" s="651" t="s">
        <v>23</v>
      </c>
      <c r="I141" s="651" t="s">
        <v>222</v>
      </c>
      <c r="J141" s="664">
        <v>15125</v>
      </c>
      <c r="K141" s="665">
        <v>34.090000000000003</v>
      </c>
      <c r="L141" s="655">
        <f t="shared" si="14"/>
        <v>443.67849809328243</v>
      </c>
      <c r="M141" s="666">
        <v>60</v>
      </c>
      <c r="N141" s="667">
        <f t="shared" si="15"/>
        <v>252.08333333333334</v>
      </c>
      <c r="O141" s="668">
        <f t="shared" ca="1" si="16"/>
        <v>192</v>
      </c>
      <c r="P141" s="655">
        <f t="shared" ca="1" si="17"/>
        <v>-33275</v>
      </c>
      <c r="Q141" s="667">
        <f t="shared" ca="1" si="18"/>
        <v>1</v>
      </c>
      <c r="R141" s="669" t="s">
        <v>211</v>
      </c>
    </row>
    <row r="142" spans="2:18" ht="39.950000000000003" customHeight="1" x14ac:dyDescent="0.25">
      <c r="B142" s="661">
        <v>39556</v>
      </c>
      <c r="C142" s="662" t="s">
        <v>2351</v>
      </c>
      <c r="D142" s="669" t="s">
        <v>225</v>
      </c>
      <c r="E142" s="651" t="s">
        <v>239</v>
      </c>
      <c r="F142" s="663" t="s">
        <v>240</v>
      </c>
      <c r="G142" s="651" t="s">
        <v>28</v>
      </c>
      <c r="H142" s="651" t="s">
        <v>23</v>
      </c>
      <c r="I142" s="651" t="s">
        <v>222</v>
      </c>
      <c r="J142" s="664">
        <v>13428</v>
      </c>
      <c r="K142" s="665">
        <v>34.090000000000003</v>
      </c>
      <c r="L142" s="655">
        <f t="shared" si="14"/>
        <v>393.89850396010559</v>
      </c>
      <c r="M142" s="666">
        <v>60</v>
      </c>
      <c r="N142" s="667">
        <f t="shared" si="15"/>
        <v>223.8</v>
      </c>
      <c r="O142" s="668">
        <f t="shared" ca="1" si="16"/>
        <v>192</v>
      </c>
      <c r="P142" s="655">
        <f t="shared" ca="1" si="17"/>
        <v>-29541.600000000006</v>
      </c>
      <c r="Q142" s="667">
        <f t="shared" ca="1" si="18"/>
        <v>1</v>
      </c>
      <c r="R142" s="669" t="s">
        <v>211</v>
      </c>
    </row>
    <row r="143" spans="2:18" ht="39.950000000000003" customHeight="1" x14ac:dyDescent="0.25">
      <c r="B143" s="661">
        <v>39556</v>
      </c>
      <c r="C143" s="662" t="s">
        <v>2351</v>
      </c>
      <c r="D143" s="669" t="s">
        <v>225</v>
      </c>
      <c r="E143" s="651" t="s">
        <v>241</v>
      </c>
      <c r="F143" s="663" t="s">
        <v>240</v>
      </c>
      <c r="G143" s="651" t="s">
        <v>28</v>
      </c>
      <c r="H143" s="651" t="s">
        <v>23</v>
      </c>
      <c r="I143" s="651" t="s">
        <v>222</v>
      </c>
      <c r="J143" s="664">
        <v>13428</v>
      </c>
      <c r="K143" s="665">
        <v>34.090000000000003</v>
      </c>
      <c r="L143" s="655">
        <f t="shared" si="14"/>
        <v>393.89850396010559</v>
      </c>
      <c r="M143" s="666">
        <v>60</v>
      </c>
      <c r="N143" s="667">
        <f t="shared" si="15"/>
        <v>223.8</v>
      </c>
      <c r="O143" s="668">
        <f t="shared" ca="1" si="16"/>
        <v>192</v>
      </c>
      <c r="P143" s="655">
        <f t="shared" ca="1" si="17"/>
        <v>-29541.600000000006</v>
      </c>
      <c r="Q143" s="667">
        <f t="shared" ca="1" si="18"/>
        <v>1</v>
      </c>
      <c r="R143" s="669" t="s">
        <v>211</v>
      </c>
    </row>
    <row r="144" spans="2:18" ht="39.950000000000003" customHeight="1" x14ac:dyDescent="0.25">
      <c r="B144" s="661">
        <v>39556</v>
      </c>
      <c r="C144" s="662" t="s">
        <v>2351</v>
      </c>
      <c r="D144" s="669" t="s">
        <v>225</v>
      </c>
      <c r="E144" s="651" t="s">
        <v>242</v>
      </c>
      <c r="F144" s="663" t="s">
        <v>240</v>
      </c>
      <c r="G144" s="651" t="s">
        <v>28</v>
      </c>
      <c r="H144" s="651" t="s">
        <v>23</v>
      </c>
      <c r="I144" s="651" t="s">
        <v>222</v>
      </c>
      <c r="J144" s="664">
        <v>13428</v>
      </c>
      <c r="K144" s="665">
        <v>34.090000000000003</v>
      </c>
      <c r="L144" s="655">
        <f t="shared" si="14"/>
        <v>393.89850396010559</v>
      </c>
      <c r="M144" s="666">
        <v>60</v>
      </c>
      <c r="N144" s="667">
        <f t="shared" si="15"/>
        <v>223.8</v>
      </c>
      <c r="O144" s="668">
        <f t="shared" ca="1" si="16"/>
        <v>192</v>
      </c>
      <c r="P144" s="655">
        <f t="shared" ca="1" si="17"/>
        <v>-29541.600000000006</v>
      </c>
      <c r="Q144" s="667">
        <f t="shared" ca="1" si="18"/>
        <v>1</v>
      </c>
      <c r="R144" s="669" t="s">
        <v>211</v>
      </c>
    </row>
    <row r="145" spans="2:18" ht="39.950000000000003" customHeight="1" x14ac:dyDescent="0.25">
      <c r="B145" s="661">
        <v>39556</v>
      </c>
      <c r="C145" s="662" t="s">
        <v>2351</v>
      </c>
      <c r="D145" s="669" t="s">
        <v>225</v>
      </c>
      <c r="E145" s="651" t="s">
        <v>243</v>
      </c>
      <c r="F145" s="663" t="s">
        <v>240</v>
      </c>
      <c r="G145" s="651" t="s">
        <v>28</v>
      </c>
      <c r="H145" s="651" t="s">
        <v>23</v>
      </c>
      <c r="I145" s="651" t="s">
        <v>222</v>
      </c>
      <c r="J145" s="664">
        <v>13428</v>
      </c>
      <c r="K145" s="665">
        <v>34.090000000000003</v>
      </c>
      <c r="L145" s="655">
        <f t="shared" si="14"/>
        <v>393.89850396010559</v>
      </c>
      <c r="M145" s="666">
        <v>60</v>
      </c>
      <c r="N145" s="667">
        <f t="shared" si="15"/>
        <v>223.8</v>
      </c>
      <c r="O145" s="668">
        <f t="shared" ca="1" si="16"/>
        <v>192</v>
      </c>
      <c r="P145" s="655">
        <f t="shared" ca="1" si="17"/>
        <v>-29541.600000000006</v>
      </c>
      <c r="Q145" s="667">
        <f t="shared" ca="1" si="18"/>
        <v>1</v>
      </c>
      <c r="R145" s="669" t="s">
        <v>211</v>
      </c>
    </row>
    <row r="146" spans="2:18" ht="39.950000000000003" customHeight="1" x14ac:dyDescent="0.25">
      <c r="B146" s="661">
        <v>39556</v>
      </c>
      <c r="C146" s="662" t="s">
        <v>2351</v>
      </c>
      <c r="D146" s="669" t="s">
        <v>225</v>
      </c>
      <c r="E146" s="651" t="s">
        <v>244</v>
      </c>
      <c r="F146" s="663" t="s">
        <v>240</v>
      </c>
      <c r="G146" s="651" t="s">
        <v>28</v>
      </c>
      <c r="H146" s="651" t="s">
        <v>23</v>
      </c>
      <c r="I146" s="651" t="s">
        <v>222</v>
      </c>
      <c r="J146" s="664">
        <v>13428</v>
      </c>
      <c r="K146" s="665">
        <v>34.090000000000003</v>
      </c>
      <c r="L146" s="655">
        <f t="shared" si="14"/>
        <v>393.89850396010559</v>
      </c>
      <c r="M146" s="666">
        <v>60</v>
      </c>
      <c r="N146" s="667">
        <f t="shared" si="15"/>
        <v>223.8</v>
      </c>
      <c r="O146" s="668">
        <f t="shared" ca="1" si="16"/>
        <v>192</v>
      </c>
      <c r="P146" s="655">
        <f t="shared" ca="1" si="17"/>
        <v>-29541.600000000006</v>
      </c>
      <c r="Q146" s="667">
        <f t="shared" ca="1" si="18"/>
        <v>1</v>
      </c>
      <c r="R146" s="669" t="s">
        <v>211</v>
      </c>
    </row>
    <row r="147" spans="2:18" ht="59.25" customHeight="1" x14ac:dyDescent="0.25">
      <c r="B147" s="661">
        <v>39556</v>
      </c>
      <c r="C147" s="662" t="s">
        <v>2351</v>
      </c>
      <c r="D147" s="669" t="s">
        <v>225</v>
      </c>
      <c r="E147" s="651" t="s">
        <v>245</v>
      </c>
      <c r="F147" s="663" t="s">
        <v>246</v>
      </c>
      <c r="G147" s="651" t="s">
        <v>28</v>
      </c>
      <c r="H147" s="651" t="s">
        <v>23</v>
      </c>
      <c r="I147" s="651" t="s">
        <v>222</v>
      </c>
      <c r="J147" s="664">
        <v>1050</v>
      </c>
      <c r="K147" s="665">
        <v>34.090000000000003</v>
      </c>
      <c r="L147" s="655">
        <f t="shared" si="14"/>
        <v>30.800821355236138</v>
      </c>
      <c r="M147" s="666">
        <v>60</v>
      </c>
      <c r="N147" s="667">
        <f t="shared" si="15"/>
        <v>17.5</v>
      </c>
      <c r="O147" s="668">
        <f t="shared" ca="1" si="16"/>
        <v>192</v>
      </c>
      <c r="P147" s="655">
        <f t="shared" ca="1" si="17"/>
        <v>-2310</v>
      </c>
      <c r="Q147" s="667">
        <f t="shared" ca="1" si="18"/>
        <v>1</v>
      </c>
      <c r="R147" s="669" t="s">
        <v>211</v>
      </c>
    </row>
    <row r="148" spans="2:18" ht="39.950000000000003" customHeight="1" x14ac:dyDescent="0.25">
      <c r="B148" s="661">
        <v>39556</v>
      </c>
      <c r="C148" s="662" t="s">
        <v>2351</v>
      </c>
      <c r="D148" s="669" t="s">
        <v>225</v>
      </c>
      <c r="E148" s="651" t="s">
        <v>247</v>
      </c>
      <c r="F148" s="663" t="s">
        <v>246</v>
      </c>
      <c r="G148" s="651" t="s">
        <v>28</v>
      </c>
      <c r="H148" s="651" t="s">
        <v>23</v>
      </c>
      <c r="I148" s="651" t="s">
        <v>222</v>
      </c>
      <c r="J148" s="664">
        <v>1050</v>
      </c>
      <c r="K148" s="665">
        <v>34.090000000000003</v>
      </c>
      <c r="L148" s="655">
        <f t="shared" si="14"/>
        <v>30.800821355236138</v>
      </c>
      <c r="M148" s="666">
        <v>60</v>
      </c>
      <c r="N148" s="667">
        <f t="shared" si="15"/>
        <v>17.5</v>
      </c>
      <c r="O148" s="668">
        <f t="shared" ca="1" si="16"/>
        <v>192</v>
      </c>
      <c r="P148" s="655">
        <f t="shared" ca="1" si="17"/>
        <v>-2310</v>
      </c>
      <c r="Q148" s="667">
        <f t="shared" ca="1" si="18"/>
        <v>1</v>
      </c>
      <c r="R148" s="669" t="s">
        <v>211</v>
      </c>
    </row>
    <row r="149" spans="2:18" ht="39.950000000000003" customHeight="1" x14ac:dyDescent="0.25">
      <c r="B149" s="661">
        <v>39556</v>
      </c>
      <c r="C149" s="662" t="s">
        <v>2351</v>
      </c>
      <c r="D149" s="669" t="s">
        <v>225</v>
      </c>
      <c r="E149" s="651" t="s">
        <v>248</v>
      </c>
      <c r="F149" s="663" t="s">
        <v>246</v>
      </c>
      <c r="G149" s="651" t="s">
        <v>28</v>
      </c>
      <c r="H149" s="651" t="s">
        <v>23</v>
      </c>
      <c r="I149" s="651" t="s">
        <v>222</v>
      </c>
      <c r="J149" s="664">
        <v>1050</v>
      </c>
      <c r="K149" s="665">
        <v>34.090000000000003</v>
      </c>
      <c r="L149" s="655">
        <f t="shared" si="14"/>
        <v>30.800821355236138</v>
      </c>
      <c r="M149" s="666">
        <v>60</v>
      </c>
      <c r="N149" s="667">
        <f t="shared" si="15"/>
        <v>17.5</v>
      </c>
      <c r="O149" s="668">
        <f t="shared" ca="1" si="16"/>
        <v>192</v>
      </c>
      <c r="P149" s="655">
        <f t="shared" ca="1" si="17"/>
        <v>-2310</v>
      </c>
      <c r="Q149" s="667">
        <f t="shared" ca="1" si="18"/>
        <v>1</v>
      </c>
      <c r="R149" s="669" t="s">
        <v>211</v>
      </c>
    </row>
    <row r="150" spans="2:18" ht="39.950000000000003" customHeight="1" x14ac:dyDescent="0.25">
      <c r="B150" s="661">
        <v>39556</v>
      </c>
      <c r="C150" s="662" t="s">
        <v>2351</v>
      </c>
      <c r="D150" s="669" t="s">
        <v>225</v>
      </c>
      <c r="E150" s="651" t="s">
        <v>249</v>
      </c>
      <c r="F150" s="663" t="s">
        <v>246</v>
      </c>
      <c r="G150" s="651" t="s">
        <v>28</v>
      </c>
      <c r="H150" s="651" t="s">
        <v>23</v>
      </c>
      <c r="I150" s="651" t="s">
        <v>222</v>
      </c>
      <c r="J150" s="664">
        <v>1050</v>
      </c>
      <c r="K150" s="665">
        <v>34.090000000000003</v>
      </c>
      <c r="L150" s="655">
        <f t="shared" si="14"/>
        <v>30.800821355236138</v>
      </c>
      <c r="M150" s="666">
        <v>60</v>
      </c>
      <c r="N150" s="667">
        <f t="shared" si="15"/>
        <v>17.5</v>
      </c>
      <c r="O150" s="668">
        <f t="shared" ca="1" si="16"/>
        <v>192</v>
      </c>
      <c r="P150" s="655">
        <f t="shared" ca="1" si="17"/>
        <v>-2310</v>
      </c>
      <c r="Q150" s="667">
        <f t="shared" ca="1" si="18"/>
        <v>1</v>
      </c>
      <c r="R150" s="669" t="s">
        <v>211</v>
      </c>
    </row>
    <row r="151" spans="2:18" ht="39.950000000000003" customHeight="1" x14ac:dyDescent="0.25">
      <c r="B151" s="661">
        <v>39556</v>
      </c>
      <c r="C151" s="662" t="s">
        <v>2351</v>
      </c>
      <c r="D151" s="669" t="s">
        <v>225</v>
      </c>
      <c r="E151" s="651" t="s">
        <v>250</v>
      </c>
      <c r="F151" s="663" t="s">
        <v>251</v>
      </c>
      <c r="G151" s="651" t="s">
        <v>28</v>
      </c>
      <c r="H151" s="651" t="s">
        <v>23</v>
      </c>
      <c r="I151" s="651" t="s">
        <v>222</v>
      </c>
      <c r="J151" s="664">
        <v>9782</v>
      </c>
      <c r="K151" s="665">
        <v>34.090000000000003</v>
      </c>
      <c r="L151" s="655">
        <f t="shared" si="14"/>
        <v>286.94631856849514</v>
      </c>
      <c r="M151" s="666">
        <v>60</v>
      </c>
      <c r="N151" s="667">
        <f t="shared" si="15"/>
        <v>163.03333333333333</v>
      </c>
      <c r="O151" s="668">
        <f t="shared" ca="1" si="16"/>
        <v>192</v>
      </c>
      <c r="P151" s="655">
        <f t="shared" ca="1" si="17"/>
        <v>-21520.400000000001</v>
      </c>
      <c r="Q151" s="667">
        <f t="shared" ca="1" si="18"/>
        <v>1</v>
      </c>
      <c r="R151" s="669" t="s">
        <v>211</v>
      </c>
    </row>
    <row r="152" spans="2:18" ht="50.1" customHeight="1" x14ac:dyDescent="0.25">
      <c r="B152" s="661">
        <v>39556</v>
      </c>
      <c r="C152" s="662" t="s">
        <v>2351</v>
      </c>
      <c r="D152" s="669" t="s">
        <v>225</v>
      </c>
      <c r="E152" s="651" t="s">
        <v>252</v>
      </c>
      <c r="F152" s="663" t="s">
        <v>251</v>
      </c>
      <c r="G152" s="651" t="s">
        <v>28</v>
      </c>
      <c r="H152" s="651" t="s">
        <v>23</v>
      </c>
      <c r="I152" s="651" t="s">
        <v>222</v>
      </c>
      <c r="J152" s="664">
        <v>9782</v>
      </c>
      <c r="K152" s="665">
        <v>34.090000000000003</v>
      </c>
      <c r="L152" s="655">
        <f t="shared" si="14"/>
        <v>286.94631856849514</v>
      </c>
      <c r="M152" s="666">
        <v>60</v>
      </c>
      <c r="N152" s="667">
        <f t="shared" si="15"/>
        <v>163.03333333333333</v>
      </c>
      <c r="O152" s="668">
        <f t="shared" ca="1" si="16"/>
        <v>192</v>
      </c>
      <c r="P152" s="655">
        <f t="shared" ca="1" si="17"/>
        <v>-21520.400000000001</v>
      </c>
      <c r="Q152" s="667">
        <f t="shared" ca="1" si="18"/>
        <v>1</v>
      </c>
      <c r="R152" s="669" t="s">
        <v>211</v>
      </c>
    </row>
    <row r="153" spans="2:18" ht="50.1" customHeight="1" x14ac:dyDescent="0.25">
      <c r="B153" s="661">
        <v>39556</v>
      </c>
      <c r="C153" s="662" t="s">
        <v>2351</v>
      </c>
      <c r="D153" s="669" t="s">
        <v>225</v>
      </c>
      <c r="E153" s="651" t="s">
        <v>253</v>
      </c>
      <c r="F153" s="663" t="s">
        <v>251</v>
      </c>
      <c r="G153" s="651" t="s">
        <v>28</v>
      </c>
      <c r="H153" s="651" t="s">
        <v>23</v>
      </c>
      <c r="I153" s="651" t="s">
        <v>222</v>
      </c>
      <c r="J153" s="664">
        <v>9782</v>
      </c>
      <c r="K153" s="665">
        <v>34.090000000000003</v>
      </c>
      <c r="L153" s="655">
        <f t="shared" si="14"/>
        <v>286.94631856849514</v>
      </c>
      <c r="M153" s="666">
        <v>60</v>
      </c>
      <c r="N153" s="667">
        <f t="shared" si="15"/>
        <v>163.03333333333333</v>
      </c>
      <c r="O153" s="668">
        <f t="shared" ca="1" si="16"/>
        <v>192</v>
      </c>
      <c r="P153" s="655">
        <f t="shared" ca="1" si="17"/>
        <v>-21520.400000000001</v>
      </c>
      <c r="Q153" s="667">
        <f t="shared" ca="1" si="18"/>
        <v>1</v>
      </c>
      <c r="R153" s="669" t="s">
        <v>211</v>
      </c>
    </row>
    <row r="154" spans="2:18" ht="50.1" customHeight="1" x14ac:dyDescent="0.25">
      <c r="B154" s="661">
        <v>39556</v>
      </c>
      <c r="C154" s="662" t="s">
        <v>2351</v>
      </c>
      <c r="D154" s="669" t="s">
        <v>225</v>
      </c>
      <c r="E154" s="651" t="s">
        <v>254</v>
      </c>
      <c r="F154" s="663" t="s">
        <v>255</v>
      </c>
      <c r="G154" s="651" t="s">
        <v>28</v>
      </c>
      <c r="H154" s="651" t="s">
        <v>23</v>
      </c>
      <c r="I154" s="651" t="s">
        <v>222</v>
      </c>
      <c r="J154" s="664">
        <v>9782</v>
      </c>
      <c r="K154" s="665">
        <v>34.090000000000003</v>
      </c>
      <c r="L154" s="655">
        <f t="shared" si="14"/>
        <v>286.94631856849514</v>
      </c>
      <c r="M154" s="666">
        <v>60</v>
      </c>
      <c r="N154" s="667">
        <f t="shared" si="15"/>
        <v>163.03333333333333</v>
      </c>
      <c r="O154" s="668">
        <f t="shared" ca="1" si="16"/>
        <v>192</v>
      </c>
      <c r="P154" s="655">
        <f t="shared" ca="1" si="17"/>
        <v>-21520.400000000001</v>
      </c>
      <c r="Q154" s="667">
        <f t="shared" ca="1" si="18"/>
        <v>1</v>
      </c>
      <c r="R154" s="669" t="s">
        <v>211</v>
      </c>
    </row>
    <row r="155" spans="2:18" ht="50.1" customHeight="1" x14ac:dyDescent="0.25">
      <c r="B155" s="661">
        <v>39556</v>
      </c>
      <c r="C155" s="662" t="s">
        <v>2351</v>
      </c>
      <c r="D155" s="669" t="s">
        <v>225</v>
      </c>
      <c r="E155" s="651" t="s">
        <v>256</v>
      </c>
      <c r="F155" s="663" t="s">
        <v>255</v>
      </c>
      <c r="G155" s="651" t="s">
        <v>28</v>
      </c>
      <c r="H155" s="651" t="s">
        <v>23</v>
      </c>
      <c r="I155" s="651" t="s">
        <v>222</v>
      </c>
      <c r="J155" s="664">
        <v>9782</v>
      </c>
      <c r="K155" s="665">
        <v>34.090000000000003</v>
      </c>
      <c r="L155" s="655">
        <f t="shared" si="14"/>
        <v>286.94631856849514</v>
      </c>
      <c r="M155" s="666">
        <v>60</v>
      </c>
      <c r="N155" s="667">
        <f t="shared" si="15"/>
        <v>163.03333333333333</v>
      </c>
      <c r="O155" s="668">
        <f t="shared" ca="1" si="16"/>
        <v>192</v>
      </c>
      <c r="P155" s="655">
        <f t="shared" ca="1" si="17"/>
        <v>-21520.400000000001</v>
      </c>
      <c r="Q155" s="667">
        <f t="shared" ca="1" si="18"/>
        <v>1</v>
      </c>
      <c r="R155" s="669" t="s">
        <v>211</v>
      </c>
    </row>
    <row r="156" spans="2:18" ht="50.1" customHeight="1" x14ac:dyDescent="0.25">
      <c r="B156" s="661">
        <v>39556</v>
      </c>
      <c r="C156" s="662" t="s">
        <v>2351</v>
      </c>
      <c r="D156" s="669" t="s">
        <v>225</v>
      </c>
      <c r="E156" s="651" t="s">
        <v>257</v>
      </c>
      <c r="F156" s="663" t="s">
        <v>255</v>
      </c>
      <c r="G156" s="651" t="s">
        <v>28</v>
      </c>
      <c r="H156" s="651" t="s">
        <v>23</v>
      </c>
      <c r="I156" s="651" t="s">
        <v>222</v>
      </c>
      <c r="J156" s="664">
        <v>9782</v>
      </c>
      <c r="K156" s="665">
        <v>34.090000000000003</v>
      </c>
      <c r="L156" s="655">
        <f t="shared" si="14"/>
        <v>286.94631856849514</v>
      </c>
      <c r="M156" s="666">
        <v>60</v>
      </c>
      <c r="N156" s="667">
        <f t="shared" si="15"/>
        <v>163.03333333333333</v>
      </c>
      <c r="O156" s="668">
        <f t="shared" ca="1" si="16"/>
        <v>192</v>
      </c>
      <c r="P156" s="655">
        <f t="shared" ca="1" si="17"/>
        <v>-21520.400000000001</v>
      </c>
      <c r="Q156" s="667">
        <f t="shared" ca="1" si="18"/>
        <v>1</v>
      </c>
      <c r="R156" s="669" t="s">
        <v>211</v>
      </c>
    </row>
    <row r="157" spans="2:18" ht="50.1" customHeight="1" x14ac:dyDescent="0.25">
      <c r="B157" s="661">
        <v>39556</v>
      </c>
      <c r="C157" s="662" t="s">
        <v>2351</v>
      </c>
      <c r="D157" s="669" t="s">
        <v>225</v>
      </c>
      <c r="E157" s="651" t="s">
        <v>258</v>
      </c>
      <c r="F157" s="663" t="s">
        <v>255</v>
      </c>
      <c r="G157" s="651" t="s">
        <v>28</v>
      </c>
      <c r="H157" s="651" t="s">
        <v>23</v>
      </c>
      <c r="I157" s="651" t="s">
        <v>222</v>
      </c>
      <c r="J157" s="664">
        <v>9782</v>
      </c>
      <c r="K157" s="665">
        <v>34.090000000000003</v>
      </c>
      <c r="L157" s="655">
        <f t="shared" si="14"/>
        <v>286.94631856849514</v>
      </c>
      <c r="M157" s="666">
        <v>60</v>
      </c>
      <c r="N157" s="667">
        <f t="shared" si="15"/>
        <v>163.03333333333333</v>
      </c>
      <c r="O157" s="668">
        <f t="shared" ca="1" si="16"/>
        <v>192</v>
      </c>
      <c r="P157" s="655">
        <f t="shared" ca="1" si="17"/>
        <v>-21520.400000000001</v>
      </c>
      <c r="Q157" s="667">
        <f t="shared" ca="1" si="18"/>
        <v>1</v>
      </c>
      <c r="R157" s="669" t="s">
        <v>211</v>
      </c>
    </row>
    <row r="158" spans="2:18" ht="50.1" customHeight="1" x14ac:dyDescent="0.25">
      <c r="B158" s="661">
        <v>39556</v>
      </c>
      <c r="C158" s="662" t="s">
        <v>2351</v>
      </c>
      <c r="D158" s="669" t="s">
        <v>225</v>
      </c>
      <c r="E158" s="651" t="s">
        <v>259</v>
      </c>
      <c r="F158" s="663" t="s">
        <v>255</v>
      </c>
      <c r="G158" s="651" t="s">
        <v>28</v>
      </c>
      <c r="H158" s="651" t="s">
        <v>23</v>
      </c>
      <c r="I158" s="651" t="s">
        <v>222</v>
      </c>
      <c r="J158" s="664">
        <v>9782</v>
      </c>
      <c r="K158" s="665">
        <v>34.090000000000003</v>
      </c>
      <c r="L158" s="655">
        <f t="shared" si="14"/>
        <v>286.94631856849514</v>
      </c>
      <c r="M158" s="666">
        <v>60</v>
      </c>
      <c r="N158" s="667">
        <f t="shared" si="15"/>
        <v>163.03333333333333</v>
      </c>
      <c r="O158" s="668">
        <f t="shared" ca="1" si="16"/>
        <v>192</v>
      </c>
      <c r="P158" s="655">
        <f t="shared" ca="1" si="17"/>
        <v>-21520.400000000001</v>
      </c>
      <c r="Q158" s="667">
        <f t="shared" ca="1" si="18"/>
        <v>1</v>
      </c>
      <c r="R158" s="669" t="s">
        <v>211</v>
      </c>
    </row>
    <row r="159" spans="2:18" ht="50.1" customHeight="1" x14ac:dyDescent="0.25">
      <c r="B159" s="661">
        <v>39556</v>
      </c>
      <c r="C159" s="662" t="s">
        <v>2351</v>
      </c>
      <c r="D159" s="669" t="s">
        <v>225</v>
      </c>
      <c r="E159" s="651" t="s">
        <v>260</v>
      </c>
      <c r="F159" s="663" t="s">
        <v>255</v>
      </c>
      <c r="G159" s="651" t="s">
        <v>28</v>
      </c>
      <c r="H159" s="651" t="s">
        <v>23</v>
      </c>
      <c r="I159" s="651" t="s">
        <v>222</v>
      </c>
      <c r="J159" s="664">
        <v>9782</v>
      </c>
      <c r="K159" s="665">
        <v>34.090000000000003</v>
      </c>
      <c r="L159" s="655">
        <f t="shared" si="14"/>
        <v>286.94631856849514</v>
      </c>
      <c r="M159" s="666">
        <v>60</v>
      </c>
      <c r="N159" s="667">
        <f t="shared" si="15"/>
        <v>163.03333333333333</v>
      </c>
      <c r="O159" s="668">
        <f t="shared" ca="1" si="16"/>
        <v>192</v>
      </c>
      <c r="P159" s="655">
        <f t="shared" ca="1" si="17"/>
        <v>-21520.400000000001</v>
      </c>
      <c r="Q159" s="667">
        <f t="shared" ca="1" si="18"/>
        <v>1</v>
      </c>
      <c r="R159" s="669" t="s">
        <v>211</v>
      </c>
    </row>
    <row r="160" spans="2:18" ht="50.1" customHeight="1" x14ac:dyDescent="0.25">
      <c r="B160" s="661">
        <v>39556</v>
      </c>
      <c r="C160" s="662" t="s">
        <v>2351</v>
      </c>
      <c r="D160" s="669" t="s">
        <v>225</v>
      </c>
      <c r="E160" s="651" t="s">
        <v>261</v>
      </c>
      <c r="F160" s="663" t="s">
        <v>262</v>
      </c>
      <c r="G160" s="651" t="s">
        <v>28</v>
      </c>
      <c r="H160" s="651" t="s">
        <v>23</v>
      </c>
      <c r="I160" s="651" t="s">
        <v>222</v>
      </c>
      <c r="J160" s="664">
        <v>11050</v>
      </c>
      <c r="K160" s="665">
        <v>34.090000000000003</v>
      </c>
      <c r="L160" s="655">
        <f t="shared" si="14"/>
        <v>324.14197711938982</v>
      </c>
      <c r="M160" s="666">
        <v>60</v>
      </c>
      <c r="N160" s="667">
        <f t="shared" si="15"/>
        <v>184.16666666666666</v>
      </c>
      <c r="O160" s="668">
        <f t="shared" ca="1" si="16"/>
        <v>192</v>
      </c>
      <c r="P160" s="655">
        <f t="shared" ca="1" si="17"/>
        <v>-24310</v>
      </c>
      <c r="Q160" s="667">
        <f t="shared" ca="1" si="18"/>
        <v>1</v>
      </c>
      <c r="R160" s="669" t="s">
        <v>211</v>
      </c>
    </row>
    <row r="161" spans="1:18" ht="50.1" customHeight="1" x14ac:dyDescent="0.25">
      <c r="B161" s="661">
        <v>39556</v>
      </c>
      <c r="C161" s="662" t="s">
        <v>2351</v>
      </c>
      <c r="D161" s="669" t="s">
        <v>225</v>
      </c>
      <c r="E161" s="651" t="s">
        <v>263</v>
      </c>
      <c r="F161" s="663" t="s">
        <v>264</v>
      </c>
      <c r="G161" s="651" t="s">
        <v>28</v>
      </c>
      <c r="H161" s="651" t="s">
        <v>23</v>
      </c>
      <c r="I161" s="651" t="s">
        <v>222</v>
      </c>
      <c r="J161" s="664">
        <v>23507</v>
      </c>
      <c r="K161" s="665">
        <v>34.090000000000003</v>
      </c>
      <c r="L161" s="655">
        <f t="shared" si="14"/>
        <v>689.55705485479609</v>
      </c>
      <c r="M161" s="666">
        <v>60</v>
      </c>
      <c r="N161" s="667">
        <f t="shared" si="15"/>
        <v>391.78333333333336</v>
      </c>
      <c r="O161" s="668">
        <f t="shared" ca="1" si="16"/>
        <v>192</v>
      </c>
      <c r="P161" s="655">
        <f t="shared" ca="1" si="17"/>
        <v>-51715.400000000009</v>
      </c>
      <c r="Q161" s="667">
        <f t="shared" ca="1" si="18"/>
        <v>1</v>
      </c>
      <c r="R161" s="669" t="s">
        <v>211</v>
      </c>
    </row>
    <row r="162" spans="1:18" ht="50.1" customHeight="1" x14ac:dyDescent="0.25">
      <c r="B162" s="661">
        <v>39556</v>
      </c>
      <c r="C162" s="662" t="s">
        <v>2351</v>
      </c>
      <c r="D162" s="669" t="s">
        <v>225</v>
      </c>
      <c r="E162" s="651" t="s">
        <v>265</v>
      </c>
      <c r="F162" s="663" t="s">
        <v>266</v>
      </c>
      <c r="G162" s="651" t="s">
        <v>28</v>
      </c>
      <c r="H162" s="651" t="s">
        <v>23</v>
      </c>
      <c r="I162" s="651" t="s">
        <v>222</v>
      </c>
      <c r="J162" s="664">
        <v>34540</v>
      </c>
      <c r="K162" s="665">
        <v>34.090000000000003</v>
      </c>
      <c r="L162" s="655">
        <f t="shared" si="14"/>
        <v>1013.2003520093868</v>
      </c>
      <c r="M162" s="666">
        <v>60</v>
      </c>
      <c r="N162" s="667">
        <f t="shared" si="15"/>
        <v>575.66666666666663</v>
      </c>
      <c r="O162" s="668">
        <f t="shared" ca="1" si="16"/>
        <v>192</v>
      </c>
      <c r="P162" s="655">
        <f t="shared" ca="1" si="17"/>
        <v>-75988</v>
      </c>
      <c r="Q162" s="667">
        <f t="shared" ca="1" si="18"/>
        <v>1</v>
      </c>
      <c r="R162" s="669" t="s">
        <v>211</v>
      </c>
    </row>
    <row r="163" spans="1:18" ht="50.1" customHeight="1" x14ac:dyDescent="0.25">
      <c r="B163" s="661">
        <v>39556</v>
      </c>
      <c r="C163" s="662" t="s">
        <v>2351</v>
      </c>
      <c r="D163" s="669" t="s">
        <v>225</v>
      </c>
      <c r="E163" s="651" t="s">
        <v>267</v>
      </c>
      <c r="F163" s="663" t="s">
        <v>268</v>
      </c>
      <c r="G163" s="651" t="s">
        <v>28</v>
      </c>
      <c r="H163" s="651" t="s">
        <v>23</v>
      </c>
      <c r="I163" s="651" t="s">
        <v>222</v>
      </c>
      <c r="J163" s="664">
        <v>12290</v>
      </c>
      <c r="K163" s="665">
        <v>34.090000000000003</v>
      </c>
      <c r="L163" s="655">
        <f t="shared" si="14"/>
        <v>360.51628043414485</v>
      </c>
      <c r="M163" s="666">
        <v>60</v>
      </c>
      <c r="N163" s="667">
        <f t="shared" si="15"/>
        <v>204.83333333333334</v>
      </c>
      <c r="O163" s="668">
        <f t="shared" ca="1" si="16"/>
        <v>192</v>
      </c>
      <c r="P163" s="655">
        <f t="shared" ca="1" si="17"/>
        <v>-27038</v>
      </c>
      <c r="Q163" s="667">
        <f t="shared" ca="1" si="18"/>
        <v>1</v>
      </c>
      <c r="R163" s="669" t="s">
        <v>211</v>
      </c>
    </row>
    <row r="164" spans="1:18" ht="50.1" customHeight="1" x14ac:dyDescent="0.25">
      <c r="B164" s="661">
        <v>39556</v>
      </c>
      <c r="C164" s="662" t="s">
        <v>2351</v>
      </c>
      <c r="D164" s="669" t="s">
        <v>225</v>
      </c>
      <c r="E164" s="651" t="s">
        <v>269</v>
      </c>
      <c r="F164" s="663" t="s">
        <v>270</v>
      </c>
      <c r="G164" s="651" t="s">
        <v>28</v>
      </c>
      <c r="H164" s="651" t="s">
        <v>271</v>
      </c>
      <c r="I164" s="651" t="s">
        <v>222</v>
      </c>
      <c r="J164" s="664">
        <v>5680</v>
      </c>
      <c r="K164" s="665">
        <v>34.090000000000003</v>
      </c>
      <c r="L164" s="655">
        <f t="shared" si="14"/>
        <v>166.61777647403929</v>
      </c>
      <c r="M164" s="666">
        <v>60</v>
      </c>
      <c r="N164" s="667">
        <f t="shared" si="15"/>
        <v>94.666666666666671</v>
      </c>
      <c r="O164" s="668">
        <f t="shared" ca="1" si="16"/>
        <v>192</v>
      </c>
      <c r="P164" s="655">
        <f t="shared" ca="1" si="17"/>
        <v>-12496</v>
      </c>
      <c r="Q164" s="667">
        <f t="shared" ca="1" si="18"/>
        <v>1</v>
      </c>
      <c r="R164" s="669" t="s">
        <v>211</v>
      </c>
    </row>
    <row r="165" spans="1:18" ht="39.950000000000003" customHeight="1" x14ac:dyDescent="0.25">
      <c r="A165" s="395"/>
      <c r="B165" s="661">
        <v>39556</v>
      </c>
      <c r="C165" s="662" t="s">
        <v>2351</v>
      </c>
      <c r="D165" s="669" t="s">
        <v>225</v>
      </c>
      <c r="E165" s="651" t="s">
        <v>272</v>
      </c>
      <c r="F165" s="663" t="s">
        <v>270</v>
      </c>
      <c r="G165" s="651" t="s">
        <v>28</v>
      </c>
      <c r="H165" s="651" t="s">
        <v>273</v>
      </c>
      <c r="I165" s="651" t="s">
        <v>222</v>
      </c>
      <c r="J165" s="664">
        <v>5680</v>
      </c>
      <c r="K165" s="665">
        <v>34.090000000000003</v>
      </c>
      <c r="L165" s="655">
        <f t="shared" si="14"/>
        <v>166.61777647403929</v>
      </c>
      <c r="M165" s="666">
        <v>60</v>
      </c>
      <c r="N165" s="667">
        <f t="shared" si="15"/>
        <v>94.666666666666671</v>
      </c>
      <c r="O165" s="668">
        <f t="shared" ca="1" si="16"/>
        <v>192</v>
      </c>
      <c r="P165" s="655">
        <f t="shared" ca="1" si="17"/>
        <v>-12496</v>
      </c>
      <c r="Q165" s="667">
        <f t="shared" ca="1" si="18"/>
        <v>1</v>
      </c>
      <c r="R165" s="669" t="s">
        <v>211</v>
      </c>
    </row>
    <row r="166" spans="1:18" ht="39.950000000000003" customHeight="1" x14ac:dyDescent="0.25">
      <c r="A166" s="395"/>
      <c r="B166" s="661">
        <v>39556</v>
      </c>
      <c r="C166" s="662" t="s">
        <v>2351</v>
      </c>
      <c r="D166" s="669" t="s">
        <v>225</v>
      </c>
      <c r="E166" s="651" t="s">
        <v>274</v>
      </c>
      <c r="F166" s="663" t="s">
        <v>270</v>
      </c>
      <c r="G166" s="651" t="s">
        <v>28</v>
      </c>
      <c r="H166" s="651" t="s">
        <v>275</v>
      </c>
      <c r="I166" s="651" t="s">
        <v>222</v>
      </c>
      <c r="J166" s="664">
        <v>5680</v>
      </c>
      <c r="K166" s="665">
        <v>34.090000000000003</v>
      </c>
      <c r="L166" s="655">
        <f t="shared" si="14"/>
        <v>166.61777647403929</v>
      </c>
      <c r="M166" s="666">
        <v>60</v>
      </c>
      <c r="N166" s="667">
        <f t="shared" si="15"/>
        <v>94.666666666666671</v>
      </c>
      <c r="O166" s="668">
        <f t="shared" ca="1" si="16"/>
        <v>192</v>
      </c>
      <c r="P166" s="655">
        <f t="shared" ca="1" si="17"/>
        <v>-12496</v>
      </c>
      <c r="Q166" s="667">
        <f t="shared" ca="1" si="18"/>
        <v>1</v>
      </c>
      <c r="R166" s="669" t="s">
        <v>211</v>
      </c>
    </row>
    <row r="167" spans="1:18" ht="39.950000000000003" customHeight="1" x14ac:dyDescent="0.25">
      <c r="A167" s="395"/>
      <c r="B167" s="661">
        <v>39556</v>
      </c>
      <c r="C167" s="662" t="s">
        <v>2351</v>
      </c>
      <c r="D167" s="669" t="s">
        <v>225</v>
      </c>
      <c r="E167" s="651" t="s">
        <v>276</v>
      </c>
      <c r="F167" s="663" t="s">
        <v>270</v>
      </c>
      <c r="G167" s="651" t="s">
        <v>28</v>
      </c>
      <c r="H167" s="651" t="s">
        <v>277</v>
      </c>
      <c r="I167" s="651" t="s">
        <v>222</v>
      </c>
      <c r="J167" s="664">
        <v>5680</v>
      </c>
      <c r="K167" s="665">
        <v>34.090000000000003</v>
      </c>
      <c r="L167" s="655">
        <f t="shared" si="14"/>
        <v>166.61777647403929</v>
      </c>
      <c r="M167" s="666">
        <v>60</v>
      </c>
      <c r="N167" s="667">
        <f t="shared" si="15"/>
        <v>94.666666666666671</v>
      </c>
      <c r="O167" s="668">
        <f t="shared" ca="1" si="16"/>
        <v>192</v>
      </c>
      <c r="P167" s="655">
        <f t="shared" ca="1" si="17"/>
        <v>-12496</v>
      </c>
      <c r="Q167" s="667">
        <f t="shared" ca="1" si="18"/>
        <v>1</v>
      </c>
      <c r="R167" s="669" t="s">
        <v>211</v>
      </c>
    </row>
    <row r="168" spans="1:18" ht="39.950000000000003" customHeight="1" x14ac:dyDescent="0.25">
      <c r="A168" s="395"/>
      <c r="B168" s="661">
        <v>39556</v>
      </c>
      <c r="C168" s="662" t="s">
        <v>2351</v>
      </c>
      <c r="D168" s="669" t="s">
        <v>225</v>
      </c>
      <c r="E168" s="651" t="s">
        <v>278</v>
      </c>
      <c r="F168" s="663" t="s">
        <v>270</v>
      </c>
      <c r="G168" s="651" t="s">
        <v>28</v>
      </c>
      <c r="H168" s="651" t="s">
        <v>279</v>
      </c>
      <c r="I168" s="651" t="s">
        <v>222</v>
      </c>
      <c r="J168" s="664">
        <v>5680</v>
      </c>
      <c r="K168" s="665">
        <v>34.090000000000003</v>
      </c>
      <c r="L168" s="655">
        <f t="shared" si="14"/>
        <v>166.61777647403929</v>
      </c>
      <c r="M168" s="666">
        <v>60</v>
      </c>
      <c r="N168" s="667">
        <f t="shared" si="15"/>
        <v>94.666666666666671</v>
      </c>
      <c r="O168" s="668">
        <f t="shared" ca="1" si="16"/>
        <v>192</v>
      </c>
      <c r="P168" s="655">
        <f t="shared" ca="1" si="17"/>
        <v>-12496</v>
      </c>
      <c r="Q168" s="667">
        <f t="shared" ca="1" si="18"/>
        <v>1</v>
      </c>
      <c r="R168" s="669" t="s">
        <v>211</v>
      </c>
    </row>
    <row r="169" spans="1:18" ht="39.950000000000003" customHeight="1" x14ac:dyDescent="0.25">
      <c r="A169" s="395"/>
      <c r="B169" s="661">
        <v>39556</v>
      </c>
      <c r="C169" s="662" t="s">
        <v>2351</v>
      </c>
      <c r="D169" s="669" t="s">
        <v>225</v>
      </c>
      <c r="E169" s="651" t="s">
        <v>280</v>
      </c>
      <c r="F169" s="663" t="s">
        <v>281</v>
      </c>
      <c r="G169" s="651" t="s">
        <v>28</v>
      </c>
      <c r="H169" s="651" t="s">
        <v>23</v>
      </c>
      <c r="I169" s="651" t="s">
        <v>222</v>
      </c>
      <c r="J169" s="664">
        <v>6775</v>
      </c>
      <c r="K169" s="665">
        <v>34.090000000000003</v>
      </c>
      <c r="L169" s="655">
        <f t="shared" si="14"/>
        <v>198.73863303021412</v>
      </c>
      <c r="M169" s="666">
        <v>60</v>
      </c>
      <c r="N169" s="667">
        <f t="shared" si="15"/>
        <v>112.91666666666667</v>
      </c>
      <c r="O169" s="668">
        <f t="shared" ca="1" si="16"/>
        <v>192</v>
      </c>
      <c r="P169" s="655">
        <f t="shared" ca="1" si="17"/>
        <v>-14905</v>
      </c>
      <c r="Q169" s="667">
        <f t="shared" ca="1" si="18"/>
        <v>1</v>
      </c>
      <c r="R169" s="669" t="s">
        <v>211</v>
      </c>
    </row>
    <row r="170" spans="1:18" ht="50.1" customHeight="1" x14ac:dyDescent="0.25">
      <c r="B170" s="661">
        <v>39556</v>
      </c>
      <c r="C170" s="662" t="s">
        <v>2351</v>
      </c>
      <c r="D170" s="669" t="s">
        <v>225</v>
      </c>
      <c r="E170" s="651" t="s">
        <v>282</v>
      </c>
      <c r="F170" s="663" t="s">
        <v>281</v>
      </c>
      <c r="G170" s="651" t="s">
        <v>28</v>
      </c>
      <c r="H170" s="651" t="s">
        <v>23</v>
      </c>
      <c r="I170" s="651" t="s">
        <v>222</v>
      </c>
      <c r="J170" s="664">
        <v>6775</v>
      </c>
      <c r="K170" s="665">
        <v>34.090000000000003</v>
      </c>
      <c r="L170" s="655">
        <f t="shared" si="14"/>
        <v>198.73863303021412</v>
      </c>
      <c r="M170" s="666">
        <v>60</v>
      </c>
      <c r="N170" s="667">
        <f t="shared" si="15"/>
        <v>112.91666666666667</v>
      </c>
      <c r="O170" s="668">
        <f t="shared" ca="1" si="16"/>
        <v>192</v>
      </c>
      <c r="P170" s="655">
        <f t="shared" ca="1" si="17"/>
        <v>-14905</v>
      </c>
      <c r="Q170" s="667">
        <f t="shared" ca="1" si="18"/>
        <v>1</v>
      </c>
      <c r="R170" s="669" t="s">
        <v>211</v>
      </c>
    </row>
    <row r="171" spans="1:18" ht="50.1" customHeight="1" x14ac:dyDescent="0.25">
      <c r="B171" s="661">
        <v>39556</v>
      </c>
      <c r="C171" s="662" t="s">
        <v>2351</v>
      </c>
      <c r="D171" s="669" t="s">
        <v>225</v>
      </c>
      <c r="E171" s="651" t="s">
        <v>283</v>
      </c>
      <c r="F171" s="663" t="s">
        <v>281</v>
      </c>
      <c r="G171" s="651" t="s">
        <v>28</v>
      </c>
      <c r="H171" s="651" t="s">
        <v>23</v>
      </c>
      <c r="I171" s="651" t="s">
        <v>222</v>
      </c>
      <c r="J171" s="664">
        <v>6775</v>
      </c>
      <c r="K171" s="665">
        <v>34.090000000000003</v>
      </c>
      <c r="L171" s="655">
        <f t="shared" si="14"/>
        <v>198.73863303021412</v>
      </c>
      <c r="M171" s="666">
        <v>60</v>
      </c>
      <c r="N171" s="667">
        <f t="shared" si="15"/>
        <v>112.91666666666667</v>
      </c>
      <c r="O171" s="668">
        <f t="shared" ca="1" si="16"/>
        <v>192</v>
      </c>
      <c r="P171" s="655">
        <f t="shared" ca="1" si="17"/>
        <v>-14905</v>
      </c>
      <c r="Q171" s="667">
        <f t="shared" ca="1" si="18"/>
        <v>1</v>
      </c>
      <c r="R171" s="669" t="s">
        <v>211</v>
      </c>
    </row>
    <row r="172" spans="1:18" ht="50.1" customHeight="1" x14ac:dyDescent="0.25">
      <c r="B172" s="661">
        <v>39556</v>
      </c>
      <c r="C172" s="662" t="s">
        <v>2351</v>
      </c>
      <c r="D172" s="669" t="s">
        <v>225</v>
      </c>
      <c r="E172" s="651" t="s">
        <v>284</v>
      </c>
      <c r="F172" s="663" t="s">
        <v>281</v>
      </c>
      <c r="G172" s="651" t="s">
        <v>28</v>
      </c>
      <c r="H172" s="651" t="s">
        <v>23</v>
      </c>
      <c r="I172" s="651" t="s">
        <v>222</v>
      </c>
      <c r="J172" s="664">
        <v>6775</v>
      </c>
      <c r="K172" s="665">
        <v>34.090000000000003</v>
      </c>
      <c r="L172" s="655">
        <f t="shared" si="14"/>
        <v>198.73863303021412</v>
      </c>
      <c r="M172" s="666">
        <v>60</v>
      </c>
      <c r="N172" s="667">
        <f t="shared" si="15"/>
        <v>112.91666666666667</v>
      </c>
      <c r="O172" s="668">
        <f t="shared" ca="1" si="16"/>
        <v>192</v>
      </c>
      <c r="P172" s="655">
        <f t="shared" ca="1" si="17"/>
        <v>-14905</v>
      </c>
      <c r="Q172" s="667">
        <f t="shared" ca="1" si="18"/>
        <v>1</v>
      </c>
      <c r="R172" s="669" t="s">
        <v>211</v>
      </c>
    </row>
    <row r="173" spans="1:18" ht="50.1" customHeight="1" x14ac:dyDescent="0.25">
      <c r="B173" s="661">
        <v>39556</v>
      </c>
      <c r="C173" s="662" t="s">
        <v>2351</v>
      </c>
      <c r="D173" s="669" t="s">
        <v>225</v>
      </c>
      <c r="E173" s="651" t="s">
        <v>285</v>
      </c>
      <c r="F173" s="663" t="s">
        <v>281</v>
      </c>
      <c r="G173" s="651" t="s">
        <v>28</v>
      </c>
      <c r="H173" s="651" t="s">
        <v>23</v>
      </c>
      <c r="I173" s="651" t="s">
        <v>222</v>
      </c>
      <c r="J173" s="664">
        <v>6775</v>
      </c>
      <c r="K173" s="665">
        <v>34.090000000000003</v>
      </c>
      <c r="L173" s="655">
        <f t="shared" si="14"/>
        <v>198.73863303021412</v>
      </c>
      <c r="M173" s="666">
        <v>60</v>
      </c>
      <c r="N173" s="667">
        <f t="shared" si="15"/>
        <v>112.91666666666667</v>
      </c>
      <c r="O173" s="668">
        <f t="shared" ca="1" si="16"/>
        <v>192</v>
      </c>
      <c r="P173" s="655">
        <f t="shared" ca="1" si="17"/>
        <v>-14905</v>
      </c>
      <c r="Q173" s="667">
        <f t="shared" ca="1" si="18"/>
        <v>1</v>
      </c>
      <c r="R173" s="669" t="s">
        <v>211</v>
      </c>
    </row>
    <row r="174" spans="1:18" ht="50.1" customHeight="1" x14ac:dyDescent="0.25">
      <c r="B174" s="661">
        <v>39595</v>
      </c>
      <c r="C174" s="662" t="s">
        <v>2351</v>
      </c>
      <c r="D174" s="669" t="s">
        <v>286</v>
      </c>
      <c r="E174" s="651" t="s">
        <v>287</v>
      </c>
      <c r="F174" s="663" t="s">
        <v>288</v>
      </c>
      <c r="G174" s="651" t="s">
        <v>28</v>
      </c>
      <c r="H174" s="651" t="s">
        <v>23</v>
      </c>
      <c r="I174" s="651" t="s">
        <v>194</v>
      </c>
      <c r="J174" s="664">
        <v>8692.19</v>
      </c>
      <c r="K174" s="665">
        <v>33.450000000000003</v>
      </c>
      <c r="L174" s="655">
        <f t="shared" si="14"/>
        <v>259.85620328849029</v>
      </c>
      <c r="M174" s="666">
        <v>60</v>
      </c>
      <c r="N174" s="667">
        <f t="shared" si="15"/>
        <v>144.86983333333333</v>
      </c>
      <c r="O174" s="668">
        <f t="shared" ca="1" si="16"/>
        <v>190</v>
      </c>
      <c r="P174" s="655">
        <f t="shared" ca="1" si="17"/>
        <v>-18833.078333333331</v>
      </c>
      <c r="Q174" s="667">
        <f t="shared" ca="1" si="18"/>
        <v>1</v>
      </c>
      <c r="R174" s="669" t="s">
        <v>30</v>
      </c>
    </row>
    <row r="175" spans="1:18" ht="47.1" customHeight="1" x14ac:dyDescent="0.25">
      <c r="B175" s="661">
        <v>39595</v>
      </c>
      <c r="C175" s="662" t="s">
        <v>2351</v>
      </c>
      <c r="D175" s="669" t="s">
        <v>286</v>
      </c>
      <c r="E175" s="651" t="s">
        <v>289</v>
      </c>
      <c r="F175" s="663" t="s">
        <v>288</v>
      </c>
      <c r="G175" s="651" t="s">
        <v>28</v>
      </c>
      <c r="H175" s="651" t="s">
        <v>23</v>
      </c>
      <c r="I175" s="651" t="s">
        <v>194</v>
      </c>
      <c r="J175" s="664">
        <v>8692.19</v>
      </c>
      <c r="K175" s="665">
        <v>33.450000000000003</v>
      </c>
      <c r="L175" s="655">
        <f t="shared" si="14"/>
        <v>259.85620328849029</v>
      </c>
      <c r="M175" s="666">
        <v>60</v>
      </c>
      <c r="N175" s="667">
        <f t="shared" si="15"/>
        <v>144.86983333333333</v>
      </c>
      <c r="O175" s="668">
        <f t="shared" ca="1" si="16"/>
        <v>190</v>
      </c>
      <c r="P175" s="655">
        <f t="shared" ca="1" si="17"/>
        <v>-18833.078333333331</v>
      </c>
      <c r="Q175" s="667">
        <f t="shared" ca="1" si="18"/>
        <v>1</v>
      </c>
      <c r="R175" s="669" t="s">
        <v>30</v>
      </c>
    </row>
    <row r="176" spans="1:18" ht="52.5" customHeight="1" x14ac:dyDescent="0.25">
      <c r="B176" s="661">
        <v>39595</v>
      </c>
      <c r="C176" s="662" t="s">
        <v>2351</v>
      </c>
      <c r="D176" s="669" t="s">
        <v>286</v>
      </c>
      <c r="E176" s="651" t="s">
        <v>290</v>
      </c>
      <c r="F176" s="663" t="s">
        <v>288</v>
      </c>
      <c r="G176" s="651" t="s">
        <v>28</v>
      </c>
      <c r="H176" s="651" t="s">
        <v>23</v>
      </c>
      <c r="I176" s="651" t="s">
        <v>194</v>
      </c>
      <c r="J176" s="664">
        <v>8692.19</v>
      </c>
      <c r="K176" s="665">
        <v>33.450000000000003</v>
      </c>
      <c r="L176" s="655">
        <f t="shared" si="14"/>
        <v>259.85620328849029</v>
      </c>
      <c r="M176" s="666">
        <v>60</v>
      </c>
      <c r="N176" s="667">
        <f t="shared" si="15"/>
        <v>144.86983333333333</v>
      </c>
      <c r="O176" s="668">
        <f t="shared" ca="1" si="16"/>
        <v>190</v>
      </c>
      <c r="P176" s="655">
        <f t="shared" ca="1" si="17"/>
        <v>-18833.078333333331</v>
      </c>
      <c r="Q176" s="667">
        <f t="shared" ca="1" si="18"/>
        <v>1</v>
      </c>
      <c r="R176" s="669" t="s">
        <v>30</v>
      </c>
    </row>
    <row r="177" spans="2:18" ht="48.75" customHeight="1" x14ac:dyDescent="0.25">
      <c r="B177" s="661">
        <v>39595</v>
      </c>
      <c r="C177" s="662" t="s">
        <v>2351</v>
      </c>
      <c r="D177" s="669" t="s">
        <v>286</v>
      </c>
      <c r="E177" s="651" t="s">
        <v>192</v>
      </c>
      <c r="F177" s="663" t="s">
        <v>291</v>
      </c>
      <c r="G177" s="651" t="s">
        <v>28</v>
      </c>
      <c r="H177" s="651" t="s">
        <v>23</v>
      </c>
      <c r="I177" s="651" t="s">
        <v>194</v>
      </c>
      <c r="J177" s="664">
        <v>4268.92</v>
      </c>
      <c r="K177" s="665">
        <v>33.450000000000003</v>
      </c>
      <c r="L177" s="655">
        <f t="shared" si="14"/>
        <v>127.62092675635276</v>
      </c>
      <c r="M177" s="666">
        <v>60</v>
      </c>
      <c r="N177" s="667">
        <f t="shared" si="15"/>
        <v>71.148666666666671</v>
      </c>
      <c r="O177" s="668">
        <f t="shared" ca="1" si="16"/>
        <v>190</v>
      </c>
      <c r="P177" s="655">
        <f t="shared" ca="1" si="17"/>
        <v>-9249.3266666666677</v>
      </c>
      <c r="Q177" s="667">
        <f t="shared" ca="1" si="18"/>
        <v>1</v>
      </c>
      <c r="R177" s="669" t="s">
        <v>30</v>
      </c>
    </row>
    <row r="178" spans="2:18" ht="50.25" customHeight="1" x14ac:dyDescent="0.25">
      <c r="B178" s="661">
        <v>39595</v>
      </c>
      <c r="C178" s="662" t="s">
        <v>2351</v>
      </c>
      <c r="D178" s="669" t="s">
        <v>286</v>
      </c>
      <c r="E178" s="651" t="s">
        <v>292</v>
      </c>
      <c r="F178" s="663" t="s">
        <v>293</v>
      </c>
      <c r="G178" s="651" t="s">
        <v>28</v>
      </c>
      <c r="H178" s="651" t="s">
        <v>23</v>
      </c>
      <c r="I178" s="651" t="s">
        <v>194</v>
      </c>
      <c r="J178" s="664">
        <v>9986.5</v>
      </c>
      <c r="K178" s="665">
        <v>33.450000000000003</v>
      </c>
      <c r="L178" s="655">
        <f t="shared" si="14"/>
        <v>298.5500747384155</v>
      </c>
      <c r="M178" s="666">
        <v>60</v>
      </c>
      <c r="N178" s="667">
        <f t="shared" si="15"/>
        <v>166.44166666666666</v>
      </c>
      <c r="O178" s="668">
        <f t="shared" ca="1" si="16"/>
        <v>190</v>
      </c>
      <c r="P178" s="655">
        <f t="shared" ca="1" si="17"/>
        <v>-21637.416666666664</v>
      </c>
      <c r="Q178" s="667">
        <f t="shared" ca="1" si="18"/>
        <v>1</v>
      </c>
      <c r="R178" s="669" t="s">
        <v>30</v>
      </c>
    </row>
    <row r="179" spans="2:18" ht="47.1" customHeight="1" x14ac:dyDescent="0.25">
      <c r="B179" s="661">
        <v>39595</v>
      </c>
      <c r="C179" s="662" t="s">
        <v>2351</v>
      </c>
      <c r="D179" s="669" t="s">
        <v>286</v>
      </c>
      <c r="E179" s="651" t="s">
        <v>294</v>
      </c>
      <c r="F179" s="663" t="s">
        <v>295</v>
      </c>
      <c r="G179" s="651" t="s">
        <v>28</v>
      </c>
      <c r="H179" s="651" t="s">
        <v>23</v>
      </c>
      <c r="I179" s="651" t="s">
        <v>194</v>
      </c>
      <c r="J179" s="664">
        <v>9986.5</v>
      </c>
      <c r="K179" s="665">
        <v>33.450000000000003</v>
      </c>
      <c r="L179" s="655">
        <f t="shared" si="14"/>
        <v>298.5500747384155</v>
      </c>
      <c r="M179" s="666">
        <v>60</v>
      </c>
      <c r="N179" s="667">
        <f t="shared" si="15"/>
        <v>166.44166666666666</v>
      </c>
      <c r="O179" s="668">
        <f t="shared" ca="1" si="16"/>
        <v>190</v>
      </c>
      <c r="P179" s="655">
        <f t="shared" ca="1" si="17"/>
        <v>-21637.416666666664</v>
      </c>
      <c r="Q179" s="667">
        <f t="shared" ca="1" si="18"/>
        <v>1</v>
      </c>
      <c r="R179" s="669" t="s">
        <v>30</v>
      </c>
    </row>
    <row r="180" spans="2:18" ht="47.1" customHeight="1" x14ac:dyDescent="0.25">
      <c r="B180" s="661">
        <v>39629</v>
      </c>
      <c r="C180" s="662" t="s">
        <v>2351</v>
      </c>
      <c r="D180" s="669" t="s">
        <v>296</v>
      </c>
      <c r="E180" s="651" t="s">
        <v>297</v>
      </c>
      <c r="F180" s="663" t="s">
        <v>298</v>
      </c>
      <c r="G180" s="651" t="s">
        <v>28</v>
      </c>
      <c r="H180" s="651" t="s">
        <v>23</v>
      </c>
      <c r="I180" s="651" t="s">
        <v>222</v>
      </c>
      <c r="J180" s="664">
        <v>16250</v>
      </c>
      <c r="K180" s="665">
        <v>34.24</v>
      </c>
      <c r="L180" s="655">
        <f t="shared" si="14"/>
        <v>474.59112149532706</v>
      </c>
      <c r="M180" s="666">
        <v>60</v>
      </c>
      <c r="N180" s="667">
        <f t="shared" si="15"/>
        <v>270.83333333333331</v>
      </c>
      <c r="O180" s="668">
        <f t="shared" ca="1" si="16"/>
        <v>189</v>
      </c>
      <c r="P180" s="655">
        <f t="shared" ca="1" si="17"/>
        <v>-34937.5</v>
      </c>
      <c r="Q180" s="667">
        <f t="shared" ca="1" si="18"/>
        <v>1</v>
      </c>
      <c r="R180" s="669" t="s">
        <v>211</v>
      </c>
    </row>
    <row r="181" spans="2:18" ht="39.950000000000003" customHeight="1" x14ac:dyDescent="0.25">
      <c r="B181" s="661">
        <v>39639</v>
      </c>
      <c r="C181" s="662" t="s">
        <v>2351</v>
      </c>
      <c r="D181" s="669" t="s">
        <v>299</v>
      </c>
      <c r="E181" s="651" t="s">
        <v>300</v>
      </c>
      <c r="F181" s="663" t="s">
        <v>301</v>
      </c>
      <c r="G181" s="651" t="s">
        <v>302</v>
      </c>
      <c r="H181" s="651" t="s">
        <v>303</v>
      </c>
      <c r="I181" s="651" t="s">
        <v>4408</v>
      </c>
      <c r="J181" s="664">
        <v>18092.97</v>
      </c>
      <c r="K181" s="665">
        <v>34.299999999999997</v>
      </c>
      <c r="L181" s="655">
        <f t="shared" ref="L181:L213" si="19">+J181/K181</f>
        <v>527.49183673469395</v>
      </c>
      <c r="M181" s="666">
        <v>60</v>
      </c>
      <c r="N181" s="667">
        <f t="shared" ref="N181:N213" si="20">IF(AND(J181&lt;&gt;0,M181&lt;&gt;0),J181/M181,0)</f>
        <v>301.54950000000002</v>
      </c>
      <c r="O181" s="668">
        <f t="shared" ref="O181:O213" ca="1" si="21">IF(B181&lt;&gt;0,(ROUND((NOW()-B181)/30,0)),0)</f>
        <v>189</v>
      </c>
      <c r="P181" s="655">
        <f t="shared" ref="P181:P213" ca="1" si="22">IF(OR(J181=0,M181=0,O181=0),0,J181-(N181*O181))</f>
        <v>-38899.885500000004</v>
      </c>
      <c r="Q181" s="667">
        <f t="shared" ca="1" si="18"/>
        <v>1</v>
      </c>
      <c r="R181" s="669" t="s">
        <v>304</v>
      </c>
    </row>
    <row r="182" spans="2:18" ht="39.950000000000003" customHeight="1" x14ac:dyDescent="0.25">
      <c r="B182" s="661">
        <v>39639</v>
      </c>
      <c r="C182" s="662" t="s">
        <v>2351</v>
      </c>
      <c r="D182" s="669" t="s">
        <v>299</v>
      </c>
      <c r="E182" s="651" t="s">
        <v>305</v>
      </c>
      <c r="F182" s="663" t="s">
        <v>301</v>
      </c>
      <c r="G182" s="651" t="s">
        <v>302</v>
      </c>
      <c r="H182" s="651" t="s">
        <v>303</v>
      </c>
      <c r="I182" s="651" t="s">
        <v>4408</v>
      </c>
      <c r="J182" s="664">
        <v>18092.96</v>
      </c>
      <c r="K182" s="665">
        <v>34.299999999999997</v>
      </c>
      <c r="L182" s="655">
        <f t="shared" si="19"/>
        <v>527.49154518950434</v>
      </c>
      <c r="M182" s="666">
        <v>60</v>
      </c>
      <c r="N182" s="667">
        <f t="shared" si="20"/>
        <v>301.54933333333332</v>
      </c>
      <c r="O182" s="668">
        <f t="shared" ca="1" si="21"/>
        <v>189</v>
      </c>
      <c r="P182" s="655">
        <f t="shared" ca="1" si="22"/>
        <v>-38899.864000000001</v>
      </c>
      <c r="Q182" s="667">
        <f t="shared" ca="1" si="18"/>
        <v>1</v>
      </c>
      <c r="R182" s="669" t="s">
        <v>304</v>
      </c>
    </row>
    <row r="183" spans="2:18" ht="39.950000000000003" customHeight="1" x14ac:dyDescent="0.25">
      <c r="B183" s="661">
        <v>39672</v>
      </c>
      <c r="C183" s="662" t="s">
        <v>2351</v>
      </c>
      <c r="D183" s="669" t="s">
        <v>306</v>
      </c>
      <c r="E183" s="651" t="s">
        <v>312</v>
      </c>
      <c r="F183" s="663" t="s">
        <v>313</v>
      </c>
      <c r="G183" s="651" t="s">
        <v>28</v>
      </c>
      <c r="H183" s="651" t="s">
        <v>308</v>
      </c>
      <c r="I183" s="651" t="s">
        <v>309</v>
      </c>
      <c r="J183" s="664">
        <v>4300</v>
      </c>
      <c r="K183" s="665">
        <v>34.700000000000003</v>
      </c>
      <c r="L183" s="655">
        <f t="shared" si="19"/>
        <v>123.9193083573487</v>
      </c>
      <c r="M183" s="666">
        <v>60</v>
      </c>
      <c r="N183" s="667">
        <f t="shared" si="20"/>
        <v>71.666666666666671</v>
      </c>
      <c r="O183" s="668">
        <f t="shared" ca="1" si="21"/>
        <v>188</v>
      </c>
      <c r="P183" s="655">
        <f t="shared" ca="1" si="22"/>
        <v>-9173.3333333333339</v>
      </c>
      <c r="Q183" s="667">
        <f t="shared" ca="1" si="18"/>
        <v>1</v>
      </c>
      <c r="R183" s="669" t="s">
        <v>310</v>
      </c>
    </row>
    <row r="184" spans="2:18" ht="39.950000000000003" customHeight="1" x14ac:dyDescent="0.25">
      <c r="B184" s="661">
        <v>39672</v>
      </c>
      <c r="C184" s="662" t="s">
        <v>2351</v>
      </c>
      <c r="D184" s="669" t="s">
        <v>306</v>
      </c>
      <c r="E184" s="651" t="s">
        <v>314</v>
      </c>
      <c r="F184" s="663" t="s">
        <v>315</v>
      </c>
      <c r="G184" s="651" t="s">
        <v>28</v>
      </c>
      <c r="H184" s="651" t="s">
        <v>308</v>
      </c>
      <c r="I184" s="651" t="s">
        <v>309</v>
      </c>
      <c r="J184" s="664">
        <v>4800</v>
      </c>
      <c r="K184" s="665">
        <v>34.700000000000003</v>
      </c>
      <c r="L184" s="655">
        <f t="shared" si="19"/>
        <v>138.32853025936598</v>
      </c>
      <c r="M184" s="666">
        <v>60</v>
      </c>
      <c r="N184" s="667">
        <f t="shared" si="20"/>
        <v>80</v>
      </c>
      <c r="O184" s="668">
        <f t="shared" ca="1" si="21"/>
        <v>188</v>
      </c>
      <c r="P184" s="655">
        <f t="shared" ca="1" si="22"/>
        <v>-10240</v>
      </c>
      <c r="Q184" s="667">
        <f t="shared" ca="1" si="18"/>
        <v>1</v>
      </c>
      <c r="R184" s="669" t="s">
        <v>310</v>
      </c>
    </row>
    <row r="185" spans="2:18" ht="39.950000000000003" customHeight="1" x14ac:dyDescent="0.25">
      <c r="B185" s="661">
        <v>39673</v>
      </c>
      <c r="C185" s="662" t="s">
        <v>2351</v>
      </c>
      <c r="D185" s="669" t="s">
        <v>316</v>
      </c>
      <c r="E185" s="651" t="s">
        <v>317</v>
      </c>
      <c r="F185" s="663" t="s">
        <v>311</v>
      </c>
      <c r="G185" s="651" t="s">
        <v>28</v>
      </c>
      <c r="H185" s="651" t="s">
        <v>318</v>
      </c>
      <c r="I185" s="651" t="s">
        <v>319</v>
      </c>
      <c r="J185" s="664">
        <v>468</v>
      </c>
      <c r="K185" s="665">
        <v>36.1</v>
      </c>
      <c r="L185" s="655">
        <f t="shared" si="19"/>
        <v>12.963988919667589</v>
      </c>
      <c r="M185" s="666">
        <v>60</v>
      </c>
      <c r="N185" s="667">
        <f t="shared" si="20"/>
        <v>7.8</v>
      </c>
      <c r="O185" s="668">
        <f t="shared" ca="1" si="21"/>
        <v>188</v>
      </c>
      <c r="P185" s="655">
        <f t="shared" ca="1" si="22"/>
        <v>-998.39999999999986</v>
      </c>
      <c r="Q185" s="667">
        <f t="shared" ca="1" si="18"/>
        <v>1</v>
      </c>
      <c r="R185" s="669" t="s">
        <v>320</v>
      </c>
    </row>
    <row r="186" spans="2:18" ht="39.950000000000003" customHeight="1" x14ac:dyDescent="0.25">
      <c r="B186" s="661">
        <v>39673</v>
      </c>
      <c r="C186" s="662" t="s">
        <v>2351</v>
      </c>
      <c r="D186" s="669" t="s">
        <v>316</v>
      </c>
      <c r="E186" s="651" t="s">
        <v>321</v>
      </c>
      <c r="F186" s="663" t="s">
        <v>311</v>
      </c>
      <c r="G186" s="651" t="s">
        <v>28</v>
      </c>
      <c r="H186" s="651" t="s">
        <v>318</v>
      </c>
      <c r="I186" s="651" t="s">
        <v>319</v>
      </c>
      <c r="J186" s="664">
        <v>468</v>
      </c>
      <c r="K186" s="665">
        <v>36.1</v>
      </c>
      <c r="L186" s="655">
        <f t="shared" si="19"/>
        <v>12.963988919667589</v>
      </c>
      <c r="M186" s="666">
        <v>60</v>
      </c>
      <c r="N186" s="667">
        <f t="shared" si="20"/>
        <v>7.8</v>
      </c>
      <c r="O186" s="668">
        <f t="shared" ca="1" si="21"/>
        <v>188</v>
      </c>
      <c r="P186" s="655">
        <f t="shared" ca="1" si="22"/>
        <v>-998.39999999999986</v>
      </c>
      <c r="Q186" s="667">
        <f t="shared" ca="1" si="18"/>
        <v>1</v>
      </c>
      <c r="R186" s="669" t="s">
        <v>320</v>
      </c>
    </row>
    <row r="187" spans="2:18" ht="39.950000000000003" customHeight="1" x14ac:dyDescent="0.25">
      <c r="B187" s="661">
        <v>39673</v>
      </c>
      <c r="C187" s="662" t="s">
        <v>2351</v>
      </c>
      <c r="D187" s="669" t="s">
        <v>316</v>
      </c>
      <c r="E187" s="651" t="s">
        <v>322</v>
      </c>
      <c r="F187" s="663" t="s">
        <v>323</v>
      </c>
      <c r="G187" s="651" t="s">
        <v>28</v>
      </c>
      <c r="H187" s="651" t="s">
        <v>318</v>
      </c>
      <c r="I187" s="651" t="s">
        <v>319</v>
      </c>
      <c r="J187" s="664">
        <v>860</v>
      </c>
      <c r="K187" s="665">
        <v>36.1</v>
      </c>
      <c r="L187" s="655">
        <f t="shared" si="19"/>
        <v>23.822714681440441</v>
      </c>
      <c r="M187" s="666">
        <v>60</v>
      </c>
      <c r="N187" s="667">
        <f t="shared" si="20"/>
        <v>14.333333333333334</v>
      </c>
      <c r="O187" s="668">
        <f t="shared" ca="1" si="21"/>
        <v>188</v>
      </c>
      <c r="P187" s="655">
        <f t="shared" ca="1" si="22"/>
        <v>-1834.666666666667</v>
      </c>
      <c r="Q187" s="667">
        <f t="shared" ca="1" si="18"/>
        <v>1</v>
      </c>
      <c r="R187" s="669" t="s">
        <v>320</v>
      </c>
    </row>
    <row r="188" spans="2:18" ht="39.950000000000003" customHeight="1" x14ac:dyDescent="0.25">
      <c r="B188" s="661">
        <v>39673</v>
      </c>
      <c r="C188" s="662" t="s">
        <v>2351</v>
      </c>
      <c r="D188" s="669" t="s">
        <v>316</v>
      </c>
      <c r="E188" s="651" t="s">
        <v>324</v>
      </c>
      <c r="F188" s="663" t="s">
        <v>323</v>
      </c>
      <c r="G188" s="651" t="s">
        <v>28</v>
      </c>
      <c r="H188" s="651" t="s">
        <v>318</v>
      </c>
      <c r="I188" s="651" t="s">
        <v>319</v>
      </c>
      <c r="J188" s="664">
        <v>860</v>
      </c>
      <c r="K188" s="665">
        <v>36.1</v>
      </c>
      <c r="L188" s="655">
        <f t="shared" si="19"/>
        <v>23.822714681440441</v>
      </c>
      <c r="M188" s="666">
        <v>60</v>
      </c>
      <c r="N188" s="667">
        <f t="shared" si="20"/>
        <v>14.333333333333334</v>
      </c>
      <c r="O188" s="668">
        <f t="shared" ca="1" si="21"/>
        <v>188</v>
      </c>
      <c r="P188" s="655">
        <f t="shared" ca="1" si="22"/>
        <v>-1834.666666666667</v>
      </c>
      <c r="Q188" s="667">
        <f t="shared" ca="1" si="18"/>
        <v>1</v>
      </c>
      <c r="R188" s="669" t="s">
        <v>320</v>
      </c>
    </row>
    <row r="189" spans="2:18" ht="39.950000000000003" customHeight="1" x14ac:dyDescent="0.25">
      <c r="B189" s="661">
        <v>39673</v>
      </c>
      <c r="C189" s="662" t="s">
        <v>2351</v>
      </c>
      <c r="D189" s="669" t="s">
        <v>316</v>
      </c>
      <c r="E189" s="651" t="s">
        <v>325</v>
      </c>
      <c r="F189" s="663" t="s">
        <v>326</v>
      </c>
      <c r="G189" s="651" t="s">
        <v>28</v>
      </c>
      <c r="H189" s="651" t="s">
        <v>318</v>
      </c>
      <c r="I189" s="651" t="s">
        <v>319</v>
      </c>
      <c r="J189" s="664">
        <v>3714</v>
      </c>
      <c r="K189" s="665">
        <v>36.1</v>
      </c>
      <c r="L189" s="655">
        <f t="shared" si="19"/>
        <v>102.8808864265928</v>
      </c>
      <c r="M189" s="666">
        <v>60</v>
      </c>
      <c r="N189" s="667">
        <f t="shared" si="20"/>
        <v>61.9</v>
      </c>
      <c r="O189" s="668">
        <f t="shared" ca="1" si="21"/>
        <v>188</v>
      </c>
      <c r="P189" s="655">
        <f t="shared" ca="1" si="22"/>
        <v>-7923.1999999999989</v>
      </c>
      <c r="Q189" s="667">
        <f t="shared" ca="1" si="18"/>
        <v>1</v>
      </c>
      <c r="R189" s="669" t="s">
        <v>320</v>
      </c>
    </row>
    <row r="190" spans="2:18" ht="39.950000000000003" customHeight="1" x14ac:dyDescent="0.25">
      <c r="B190" s="661">
        <v>39673</v>
      </c>
      <c r="C190" s="662" t="s">
        <v>2351</v>
      </c>
      <c r="D190" s="669" t="s">
        <v>316</v>
      </c>
      <c r="E190" s="651" t="s">
        <v>327</v>
      </c>
      <c r="F190" s="663" t="s">
        <v>328</v>
      </c>
      <c r="G190" s="651" t="s">
        <v>28</v>
      </c>
      <c r="H190" s="651" t="s">
        <v>318</v>
      </c>
      <c r="I190" s="651" t="s">
        <v>319</v>
      </c>
      <c r="J190" s="664">
        <v>661</v>
      </c>
      <c r="K190" s="665">
        <v>36.1</v>
      </c>
      <c r="L190" s="655">
        <f t="shared" si="19"/>
        <v>18.310249307479225</v>
      </c>
      <c r="M190" s="666">
        <v>60</v>
      </c>
      <c r="N190" s="667">
        <f t="shared" si="20"/>
        <v>11.016666666666667</v>
      </c>
      <c r="O190" s="668">
        <f t="shared" ca="1" si="21"/>
        <v>188</v>
      </c>
      <c r="P190" s="655">
        <f t="shared" ca="1" si="22"/>
        <v>-1410.1333333333337</v>
      </c>
      <c r="Q190" s="667">
        <f t="shared" ca="1" si="18"/>
        <v>1</v>
      </c>
      <c r="R190" s="669" t="s">
        <v>320</v>
      </c>
    </row>
    <row r="191" spans="2:18" ht="39.950000000000003" customHeight="1" x14ac:dyDescent="0.25">
      <c r="B191" s="661">
        <v>39673</v>
      </c>
      <c r="C191" s="662" t="s">
        <v>2351</v>
      </c>
      <c r="D191" s="669" t="s">
        <v>316</v>
      </c>
      <c r="E191" s="651" t="s">
        <v>329</v>
      </c>
      <c r="F191" s="663" t="s">
        <v>328</v>
      </c>
      <c r="G191" s="651" t="s">
        <v>28</v>
      </c>
      <c r="H191" s="651" t="s">
        <v>318</v>
      </c>
      <c r="I191" s="651" t="s">
        <v>319</v>
      </c>
      <c r="J191" s="664">
        <v>661</v>
      </c>
      <c r="K191" s="665">
        <v>36.1</v>
      </c>
      <c r="L191" s="655">
        <f t="shared" si="19"/>
        <v>18.310249307479225</v>
      </c>
      <c r="M191" s="666">
        <v>60</v>
      </c>
      <c r="N191" s="667">
        <f t="shared" si="20"/>
        <v>11.016666666666667</v>
      </c>
      <c r="O191" s="668">
        <f t="shared" ca="1" si="21"/>
        <v>188</v>
      </c>
      <c r="P191" s="655">
        <f t="shared" ca="1" si="22"/>
        <v>-1410.1333333333337</v>
      </c>
      <c r="Q191" s="667">
        <f t="shared" ca="1" si="18"/>
        <v>1</v>
      </c>
      <c r="R191" s="669" t="s">
        <v>320</v>
      </c>
    </row>
    <row r="192" spans="2:18" ht="39.950000000000003" customHeight="1" x14ac:dyDescent="0.25">
      <c r="B192" s="661">
        <v>39673</v>
      </c>
      <c r="C192" s="662" t="s">
        <v>2351</v>
      </c>
      <c r="D192" s="669" t="s">
        <v>316</v>
      </c>
      <c r="E192" s="651" t="s">
        <v>330</v>
      </c>
      <c r="F192" s="663" t="s">
        <v>328</v>
      </c>
      <c r="G192" s="651" t="s">
        <v>28</v>
      </c>
      <c r="H192" s="651" t="s">
        <v>318</v>
      </c>
      <c r="I192" s="651" t="s">
        <v>319</v>
      </c>
      <c r="J192" s="664">
        <v>661</v>
      </c>
      <c r="K192" s="665">
        <v>36.1</v>
      </c>
      <c r="L192" s="655">
        <f t="shared" si="19"/>
        <v>18.310249307479225</v>
      </c>
      <c r="M192" s="666">
        <v>60</v>
      </c>
      <c r="N192" s="667">
        <f t="shared" si="20"/>
        <v>11.016666666666667</v>
      </c>
      <c r="O192" s="668">
        <f t="shared" ca="1" si="21"/>
        <v>188</v>
      </c>
      <c r="P192" s="655">
        <f t="shared" ca="1" si="22"/>
        <v>-1410.1333333333337</v>
      </c>
      <c r="Q192" s="667">
        <f t="shared" ca="1" si="18"/>
        <v>1</v>
      </c>
      <c r="R192" s="669" t="s">
        <v>320</v>
      </c>
    </row>
    <row r="193" spans="2:18" ht="39.950000000000003" customHeight="1" x14ac:dyDescent="0.25">
      <c r="B193" s="661">
        <v>39673</v>
      </c>
      <c r="C193" s="662" t="s">
        <v>2351</v>
      </c>
      <c r="D193" s="669" t="s">
        <v>316</v>
      </c>
      <c r="E193" s="651" t="s">
        <v>331</v>
      </c>
      <c r="F193" s="663" t="s">
        <v>332</v>
      </c>
      <c r="G193" s="651" t="s">
        <v>28</v>
      </c>
      <c r="H193" s="651" t="s">
        <v>318</v>
      </c>
      <c r="I193" s="651" t="s">
        <v>319</v>
      </c>
      <c r="J193" s="664">
        <v>781.5</v>
      </c>
      <c r="K193" s="665">
        <v>36.1</v>
      </c>
      <c r="L193" s="655">
        <f t="shared" si="19"/>
        <v>21.64819944598338</v>
      </c>
      <c r="M193" s="666">
        <v>60</v>
      </c>
      <c r="N193" s="667">
        <f t="shared" si="20"/>
        <v>13.025</v>
      </c>
      <c r="O193" s="668">
        <f t="shared" ca="1" si="21"/>
        <v>188</v>
      </c>
      <c r="P193" s="655">
        <f t="shared" ca="1" si="22"/>
        <v>-1667.2000000000003</v>
      </c>
      <c r="Q193" s="667">
        <f t="shared" ca="1" si="18"/>
        <v>1</v>
      </c>
      <c r="R193" s="669" t="s">
        <v>320</v>
      </c>
    </row>
    <row r="194" spans="2:18" ht="39.950000000000003" customHeight="1" x14ac:dyDescent="0.25">
      <c r="B194" s="661">
        <v>39673</v>
      </c>
      <c r="C194" s="662" t="s">
        <v>2351</v>
      </c>
      <c r="D194" s="669" t="s">
        <v>316</v>
      </c>
      <c r="E194" s="651" t="s">
        <v>333</v>
      </c>
      <c r="F194" s="663" t="s">
        <v>332</v>
      </c>
      <c r="G194" s="651" t="s">
        <v>28</v>
      </c>
      <c r="H194" s="651" t="s">
        <v>318</v>
      </c>
      <c r="I194" s="651" t="s">
        <v>319</v>
      </c>
      <c r="J194" s="664">
        <v>781.5</v>
      </c>
      <c r="K194" s="665">
        <v>36.1</v>
      </c>
      <c r="L194" s="655">
        <f t="shared" si="19"/>
        <v>21.64819944598338</v>
      </c>
      <c r="M194" s="666">
        <v>60</v>
      </c>
      <c r="N194" s="667">
        <f t="shared" si="20"/>
        <v>13.025</v>
      </c>
      <c r="O194" s="668">
        <f t="shared" ca="1" si="21"/>
        <v>188</v>
      </c>
      <c r="P194" s="655">
        <f t="shared" ca="1" si="22"/>
        <v>-1667.2000000000003</v>
      </c>
      <c r="Q194" s="667">
        <f t="shared" ca="1" si="18"/>
        <v>1</v>
      </c>
      <c r="R194" s="669" t="s">
        <v>320</v>
      </c>
    </row>
    <row r="195" spans="2:18" ht="39.950000000000003" customHeight="1" x14ac:dyDescent="0.25">
      <c r="B195" s="661">
        <v>39673</v>
      </c>
      <c r="C195" s="662" t="s">
        <v>2351</v>
      </c>
      <c r="D195" s="669" t="s">
        <v>316</v>
      </c>
      <c r="E195" s="651" t="s">
        <v>334</v>
      </c>
      <c r="F195" s="663" t="s">
        <v>332</v>
      </c>
      <c r="G195" s="651" t="s">
        <v>28</v>
      </c>
      <c r="H195" s="651" t="s">
        <v>318</v>
      </c>
      <c r="I195" s="651" t="s">
        <v>319</v>
      </c>
      <c r="J195" s="664">
        <v>781.5</v>
      </c>
      <c r="K195" s="665">
        <v>36.1</v>
      </c>
      <c r="L195" s="655">
        <f t="shared" si="19"/>
        <v>21.64819944598338</v>
      </c>
      <c r="M195" s="666">
        <v>60</v>
      </c>
      <c r="N195" s="667">
        <f t="shared" si="20"/>
        <v>13.025</v>
      </c>
      <c r="O195" s="668">
        <f t="shared" ca="1" si="21"/>
        <v>188</v>
      </c>
      <c r="P195" s="655">
        <f t="shared" ca="1" si="22"/>
        <v>-1667.2000000000003</v>
      </c>
      <c r="Q195" s="667">
        <f t="shared" ca="1" si="18"/>
        <v>1</v>
      </c>
      <c r="R195" s="669" t="s">
        <v>320</v>
      </c>
    </row>
    <row r="196" spans="2:18" ht="39.950000000000003" customHeight="1" x14ac:dyDescent="0.25">
      <c r="B196" s="661">
        <v>39673</v>
      </c>
      <c r="C196" s="662" t="s">
        <v>2351</v>
      </c>
      <c r="D196" s="669" t="s">
        <v>316</v>
      </c>
      <c r="E196" s="651" t="s">
        <v>336</v>
      </c>
      <c r="F196" s="663" t="s">
        <v>335</v>
      </c>
      <c r="G196" s="651" t="s">
        <v>28</v>
      </c>
      <c r="H196" s="651" t="s">
        <v>318</v>
      </c>
      <c r="I196" s="651" t="s">
        <v>319</v>
      </c>
      <c r="J196" s="664">
        <v>526.29999999999995</v>
      </c>
      <c r="K196" s="665">
        <v>36.1</v>
      </c>
      <c r="L196" s="655">
        <f t="shared" si="19"/>
        <v>14.578947368421051</v>
      </c>
      <c r="M196" s="666">
        <v>60</v>
      </c>
      <c r="N196" s="667">
        <f t="shared" si="20"/>
        <v>8.7716666666666665</v>
      </c>
      <c r="O196" s="668">
        <f t="shared" ca="1" si="21"/>
        <v>188</v>
      </c>
      <c r="P196" s="655">
        <f t="shared" ca="1" si="22"/>
        <v>-1122.7733333333333</v>
      </c>
      <c r="Q196" s="667">
        <f t="shared" ca="1" si="18"/>
        <v>1</v>
      </c>
      <c r="R196" s="669" t="s">
        <v>320</v>
      </c>
    </row>
    <row r="197" spans="2:18" ht="39.950000000000003" customHeight="1" x14ac:dyDescent="0.25">
      <c r="B197" s="661">
        <v>39673</v>
      </c>
      <c r="C197" s="662" t="s">
        <v>2351</v>
      </c>
      <c r="D197" s="669" t="s">
        <v>316</v>
      </c>
      <c r="E197" s="651" t="s">
        <v>337</v>
      </c>
      <c r="F197" s="663" t="s">
        <v>338</v>
      </c>
      <c r="G197" s="651" t="s">
        <v>28</v>
      </c>
      <c r="H197" s="651" t="s">
        <v>318</v>
      </c>
      <c r="I197" s="651" t="s">
        <v>319</v>
      </c>
      <c r="J197" s="664">
        <v>270</v>
      </c>
      <c r="K197" s="665">
        <v>36.1</v>
      </c>
      <c r="L197" s="655">
        <f t="shared" si="19"/>
        <v>7.4792243767313016</v>
      </c>
      <c r="M197" s="666">
        <v>60</v>
      </c>
      <c r="N197" s="667">
        <f t="shared" si="20"/>
        <v>4.5</v>
      </c>
      <c r="O197" s="668">
        <f t="shared" ca="1" si="21"/>
        <v>188</v>
      </c>
      <c r="P197" s="655">
        <f t="shared" ca="1" si="22"/>
        <v>-576</v>
      </c>
      <c r="Q197" s="667">
        <f t="shared" ca="1" si="18"/>
        <v>1</v>
      </c>
      <c r="R197" s="669" t="s">
        <v>320</v>
      </c>
    </row>
    <row r="198" spans="2:18" ht="39.950000000000003" customHeight="1" x14ac:dyDescent="0.25">
      <c r="B198" s="661">
        <v>39673</v>
      </c>
      <c r="C198" s="662" t="s">
        <v>2351</v>
      </c>
      <c r="D198" s="669" t="s">
        <v>316</v>
      </c>
      <c r="E198" s="651" t="s">
        <v>339</v>
      </c>
      <c r="F198" s="663" t="s">
        <v>338</v>
      </c>
      <c r="G198" s="651" t="s">
        <v>28</v>
      </c>
      <c r="H198" s="651" t="s">
        <v>318</v>
      </c>
      <c r="I198" s="651" t="s">
        <v>319</v>
      </c>
      <c r="J198" s="664">
        <v>270</v>
      </c>
      <c r="K198" s="665">
        <v>36.1</v>
      </c>
      <c r="L198" s="655">
        <f t="shared" si="19"/>
        <v>7.4792243767313016</v>
      </c>
      <c r="M198" s="666">
        <v>60</v>
      </c>
      <c r="N198" s="667">
        <f t="shared" si="20"/>
        <v>4.5</v>
      </c>
      <c r="O198" s="668">
        <f t="shared" ca="1" si="21"/>
        <v>188</v>
      </c>
      <c r="P198" s="655">
        <f t="shared" ca="1" si="22"/>
        <v>-576</v>
      </c>
      <c r="Q198" s="667">
        <f t="shared" ca="1" si="18"/>
        <v>1</v>
      </c>
      <c r="R198" s="669" t="s">
        <v>320</v>
      </c>
    </row>
    <row r="199" spans="2:18" ht="39.950000000000003" customHeight="1" x14ac:dyDescent="0.25">
      <c r="B199" s="661">
        <v>39673</v>
      </c>
      <c r="C199" s="662" t="s">
        <v>2351</v>
      </c>
      <c r="D199" s="669" t="s">
        <v>316</v>
      </c>
      <c r="E199" s="651" t="s">
        <v>340</v>
      </c>
      <c r="F199" s="663" t="s">
        <v>341</v>
      </c>
      <c r="G199" s="651" t="s">
        <v>28</v>
      </c>
      <c r="H199" s="651" t="s">
        <v>318</v>
      </c>
      <c r="I199" s="651" t="s">
        <v>319</v>
      </c>
      <c r="J199" s="664">
        <v>350</v>
      </c>
      <c r="K199" s="665">
        <v>36.1</v>
      </c>
      <c r="L199" s="655">
        <f t="shared" si="19"/>
        <v>9.6952908587257607</v>
      </c>
      <c r="M199" s="666">
        <v>60</v>
      </c>
      <c r="N199" s="667">
        <f t="shared" si="20"/>
        <v>5.833333333333333</v>
      </c>
      <c r="O199" s="668">
        <f t="shared" ca="1" si="21"/>
        <v>188</v>
      </c>
      <c r="P199" s="655">
        <f t="shared" ca="1" si="22"/>
        <v>-746.66666666666652</v>
      </c>
      <c r="Q199" s="667">
        <f t="shared" ca="1" si="18"/>
        <v>1</v>
      </c>
      <c r="R199" s="669" t="s">
        <v>320</v>
      </c>
    </row>
    <row r="200" spans="2:18" ht="39.950000000000003" customHeight="1" x14ac:dyDescent="0.25">
      <c r="B200" s="661">
        <v>39673</v>
      </c>
      <c r="C200" s="662" t="s">
        <v>2351</v>
      </c>
      <c r="D200" s="669" t="s">
        <v>316</v>
      </c>
      <c r="E200" s="651" t="s">
        <v>342</v>
      </c>
      <c r="F200" s="663" t="s">
        <v>341</v>
      </c>
      <c r="G200" s="651" t="s">
        <v>28</v>
      </c>
      <c r="H200" s="651" t="s">
        <v>318</v>
      </c>
      <c r="I200" s="651" t="s">
        <v>319</v>
      </c>
      <c r="J200" s="664">
        <v>350</v>
      </c>
      <c r="K200" s="665">
        <v>36.1</v>
      </c>
      <c r="L200" s="655">
        <f t="shared" si="19"/>
        <v>9.6952908587257607</v>
      </c>
      <c r="M200" s="666">
        <v>60</v>
      </c>
      <c r="N200" s="667">
        <f t="shared" si="20"/>
        <v>5.833333333333333</v>
      </c>
      <c r="O200" s="668">
        <f t="shared" ca="1" si="21"/>
        <v>188</v>
      </c>
      <c r="P200" s="655">
        <f t="shared" ca="1" si="22"/>
        <v>-746.66666666666652</v>
      </c>
      <c r="Q200" s="667">
        <f t="shared" ref="Q200:Q263" ca="1" si="23">IF(P200&lt;1,1,P200)</f>
        <v>1</v>
      </c>
      <c r="R200" s="669" t="s">
        <v>320</v>
      </c>
    </row>
    <row r="201" spans="2:18" ht="39.950000000000003" customHeight="1" x14ac:dyDescent="0.25">
      <c r="B201" s="661">
        <v>39673</v>
      </c>
      <c r="C201" s="662" t="s">
        <v>2351</v>
      </c>
      <c r="D201" s="669" t="s">
        <v>316</v>
      </c>
      <c r="E201" s="651" t="s">
        <v>343</v>
      </c>
      <c r="F201" s="663" t="s">
        <v>344</v>
      </c>
      <c r="G201" s="651" t="s">
        <v>28</v>
      </c>
      <c r="H201" s="651" t="s">
        <v>318</v>
      </c>
      <c r="I201" s="651" t="s">
        <v>319</v>
      </c>
      <c r="J201" s="664">
        <v>0</v>
      </c>
      <c r="K201" s="665">
        <v>36.1</v>
      </c>
      <c r="L201" s="655">
        <f t="shared" si="19"/>
        <v>0</v>
      </c>
      <c r="M201" s="666">
        <v>60</v>
      </c>
      <c r="N201" s="667">
        <f t="shared" si="20"/>
        <v>0</v>
      </c>
      <c r="O201" s="668">
        <f t="shared" ca="1" si="21"/>
        <v>188</v>
      </c>
      <c r="P201" s="655">
        <f t="shared" ca="1" si="22"/>
        <v>0</v>
      </c>
      <c r="Q201" s="667">
        <f t="shared" ca="1" si="23"/>
        <v>1</v>
      </c>
      <c r="R201" s="669" t="s">
        <v>320</v>
      </c>
    </row>
    <row r="202" spans="2:18" ht="39.950000000000003" customHeight="1" x14ac:dyDescent="0.25">
      <c r="B202" s="661">
        <v>39673</v>
      </c>
      <c r="C202" s="662" t="s">
        <v>2351</v>
      </c>
      <c r="D202" s="669" t="s">
        <v>316</v>
      </c>
      <c r="E202" s="651" t="s">
        <v>345</v>
      </c>
      <c r="F202" s="663" t="s">
        <v>344</v>
      </c>
      <c r="G202" s="651" t="s">
        <v>28</v>
      </c>
      <c r="H202" s="651" t="s">
        <v>318</v>
      </c>
      <c r="I202" s="651" t="s">
        <v>319</v>
      </c>
      <c r="J202" s="664">
        <v>0</v>
      </c>
      <c r="K202" s="665">
        <v>36.1</v>
      </c>
      <c r="L202" s="655">
        <f t="shared" si="19"/>
        <v>0</v>
      </c>
      <c r="M202" s="666">
        <v>60</v>
      </c>
      <c r="N202" s="667">
        <f t="shared" si="20"/>
        <v>0</v>
      </c>
      <c r="O202" s="668">
        <f t="shared" ca="1" si="21"/>
        <v>188</v>
      </c>
      <c r="P202" s="655">
        <f t="shared" ca="1" si="22"/>
        <v>0</v>
      </c>
      <c r="Q202" s="667">
        <f t="shared" ca="1" si="23"/>
        <v>1</v>
      </c>
      <c r="R202" s="669" t="s">
        <v>320</v>
      </c>
    </row>
    <row r="203" spans="2:18" ht="39.950000000000003" customHeight="1" x14ac:dyDescent="0.25">
      <c r="B203" s="661">
        <v>39673</v>
      </c>
      <c r="C203" s="662" t="s">
        <v>2351</v>
      </c>
      <c r="D203" s="669" t="s">
        <v>316</v>
      </c>
      <c r="E203" s="651" t="s">
        <v>346</v>
      </c>
      <c r="F203" s="663" t="s">
        <v>347</v>
      </c>
      <c r="G203" s="651" t="s">
        <v>28</v>
      </c>
      <c r="H203" s="651" t="s">
        <v>348</v>
      </c>
      <c r="I203" s="651" t="s">
        <v>319</v>
      </c>
      <c r="J203" s="664">
        <v>0</v>
      </c>
      <c r="K203" s="665">
        <v>36.1</v>
      </c>
      <c r="L203" s="655">
        <f t="shared" si="19"/>
        <v>0</v>
      </c>
      <c r="M203" s="666">
        <v>60</v>
      </c>
      <c r="N203" s="667">
        <f t="shared" si="20"/>
        <v>0</v>
      </c>
      <c r="O203" s="668">
        <f t="shared" ca="1" si="21"/>
        <v>188</v>
      </c>
      <c r="P203" s="655">
        <f t="shared" ca="1" si="22"/>
        <v>0</v>
      </c>
      <c r="Q203" s="667">
        <f t="shared" ca="1" si="23"/>
        <v>1</v>
      </c>
      <c r="R203" s="669" t="s">
        <v>320</v>
      </c>
    </row>
    <row r="204" spans="2:18" ht="39.950000000000003" customHeight="1" x14ac:dyDescent="0.25">
      <c r="B204" s="661">
        <v>39673</v>
      </c>
      <c r="C204" s="662" t="s">
        <v>2351</v>
      </c>
      <c r="D204" s="669" t="s">
        <v>316</v>
      </c>
      <c r="E204" s="651" t="s">
        <v>350</v>
      </c>
      <c r="F204" s="663" t="s">
        <v>349</v>
      </c>
      <c r="G204" s="651" t="s">
        <v>28</v>
      </c>
      <c r="H204" s="651" t="s">
        <v>318</v>
      </c>
      <c r="I204" s="651" t="s">
        <v>319</v>
      </c>
      <c r="J204" s="664">
        <v>0</v>
      </c>
      <c r="K204" s="665">
        <v>36.1</v>
      </c>
      <c r="L204" s="655">
        <f t="shared" si="19"/>
        <v>0</v>
      </c>
      <c r="M204" s="666">
        <v>60</v>
      </c>
      <c r="N204" s="667">
        <f t="shared" si="20"/>
        <v>0</v>
      </c>
      <c r="O204" s="668">
        <f t="shared" ca="1" si="21"/>
        <v>188</v>
      </c>
      <c r="P204" s="655">
        <f t="shared" ca="1" si="22"/>
        <v>0</v>
      </c>
      <c r="Q204" s="667">
        <f t="shared" ca="1" si="23"/>
        <v>1</v>
      </c>
      <c r="R204" s="669" t="s">
        <v>320</v>
      </c>
    </row>
    <row r="205" spans="2:18" ht="39.950000000000003" customHeight="1" x14ac:dyDescent="0.25">
      <c r="B205" s="661">
        <v>39673</v>
      </c>
      <c r="C205" s="662" t="s">
        <v>2351</v>
      </c>
      <c r="D205" s="669" t="s">
        <v>316</v>
      </c>
      <c r="E205" s="651" t="s">
        <v>351</v>
      </c>
      <c r="F205" s="663" t="s">
        <v>349</v>
      </c>
      <c r="G205" s="651" t="s">
        <v>28</v>
      </c>
      <c r="H205" s="651" t="s">
        <v>318</v>
      </c>
      <c r="I205" s="651" t="s">
        <v>319</v>
      </c>
      <c r="J205" s="664">
        <v>0</v>
      </c>
      <c r="K205" s="665">
        <v>36.1</v>
      </c>
      <c r="L205" s="655">
        <f t="shared" si="19"/>
        <v>0</v>
      </c>
      <c r="M205" s="666">
        <v>60</v>
      </c>
      <c r="N205" s="667">
        <f t="shared" si="20"/>
        <v>0</v>
      </c>
      <c r="O205" s="668">
        <f t="shared" ca="1" si="21"/>
        <v>188</v>
      </c>
      <c r="P205" s="655">
        <f t="shared" ca="1" si="22"/>
        <v>0</v>
      </c>
      <c r="Q205" s="667">
        <f t="shared" ca="1" si="23"/>
        <v>1</v>
      </c>
      <c r="R205" s="669" t="s">
        <v>320</v>
      </c>
    </row>
    <row r="206" spans="2:18" ht="39.950000000000003" customHeight="1" x14ac:dyDescent="0.25">
      <c r="B206" s="661">
        <v>39673</v>
      </c>
      <c r="C206" s="662" t="s">
        <v>2351</v>
      </c>
      <c r="D206" s="669" t="s">
        <v>316</v>
      </c>
      <c r="E206" s="651" t="s">
        <v>353</v>
      </c>
      <c r="F206" s="663" t="s">
        <v>352</v>
      </c>
      <c r="G206" s="651" t="s">
        <v>28</v>
      </c>
      <c r="H206" s="651" t="s">
        <v>318</v>
      </c>
      <c r="I206" s="651" t="s">
        <v>319</v>
      </c>
      <c r="J206" s="664">
        <v>0</v>
      </c>
      <c r="K206" s="665">
        <v>36.1</v>
      </c>
      <c r="L206" s="655">
        <f t="shared" si="19"/>
        <v>0</v>
      </c>
      <c r="M206" s="666">
        <v>60</v>
      </c>
      <c r="N206" s="667">
        <f t="shared" si="20"/>
        <v>0</v>
      </c>
      <c r="O206" s="668">
        <f t="shared" ca="1" si="21"/>
        <v>188</v>
      </c>
      <c r="P206" s="655">
        <f t="shared" ca="1" si="22"/>
        <v>0</v>
      </c>
      <c r="Q206" s="667">
        <f t="shared" ca="1" si="23"/>
        <v>1</v>
      </c>
      <c r="R206" s="669" t="s">
        <v>320</v>
      </c>
    </row>
    <row r="207" spans="2:18" ht="39.950000000000003" customHeight="1" x14ac:dyDescent="0.25">
      <c r="B207" s="661">
        <v>39673</v>
      </c>
      <c r="C207" s="662" t="s">
        <v>2351</v>
      </c>
      <c r="D207" s="669" t="s">
        <v>316</v>
      </c>
      <c r="E207" s="651" t="s">
        <v>354</v>
      </c>
      <c r="F207" s="663" t="s">
        <v>352</v>
      </c>
      <c r="G207" s="651" t="s">
        <v>28</v>
      </c>
      <c r="H207" s="651" t="s">
        <v>318</v>
      </c>
      <c r="I207" s="651" t="s">
        <v>319</v>
      </c>
      <c r="J207" s="664">
        <v>0</v>
      </c>
      <c r="K207" s="665">
        <v>36.1</v>
      </c>
      <c r="L207" s="655">
        <f t="shared" si="19"/>
        <v>0</v>
      </c>
      <c r="M207" s="666">
        <v>60</v>
      </c>
      <c r="N207" s="667">
        <f t="shared" si="20"/>
        <v>0</v>
      </c>
      <c r="O207" s="668">
        <f t="shared" ca="1" si="21"/>
        <v>188</v>
      </c>
      <c r="P207" s="655">
        <f t="shared" ca="1" si="22"/>
        <v>0</v>
      </c>
      <c r="Q207" s="667">
        <f t="shared" ca="1" si="23"/>
        <v>1</v>
      </c>
      <c r="R207" s="669" t="s">
        <v>320</v>
      </c>
    </row>
    <row r="208" spans="2:18" ht="39.950000000000003" customHeight="1" x14ac:dyDescent="0.25">
      <c r="B208" s="661">
        <v>39673</v>
      </c>
      <c r="C208" s="662" t="s">
        <v>2351</v>
      </c>
      <c r="D208" s="669" t="s">
        <v>316</v>
      </c>
      <c r="E208" s="651" t="s">
        <v>355</v>
      </c>
      <c r="F208" s="663" t="s">
        <v>356</v>
      </c>
      <c r="G208" s="651" t="s">
        <v>28</v>
      </c>
      <c r="H208" s="651" t="s">
        <v>318</v>
      </c>
      <c r="I208" s="651" t="s">
        <v>319</v>
      </c>
      <c r="J208" s="664">
        <v>0</v>
      </c>
      <c r="K208" s="665">
        <v>36.1</v>
      </c>
      <c r="L208" s="655">
        <f t="shared" si="19"/>
        <v>0</v>
      </c>
      <c r="M208" s="666">
        <v>60</v>
      </c>
      <c r="N208" s="667">
        <f t="shared" si="20"/>
        <v>0</v>
      </c>
      <c r="O208" s="668">
        <f t="shared" ca="1" si="21"/>
        <v>188</v>
      </c>
      <c r="P208" s="655">
        <f t="shared" ca="1" si="22"/>
        <v>0</v>
      </c>
      <c r="Q208" s="667">
        <f t="shared" ca="1" si="23"/>
        <v>1</v>
      </c>
      <c r="R208" s="669" t="s">
        <v>320</v>
      </c>
    </row>
    <row r="209" spans="2:18" ht="39.950000000000003" customHeight="1" x14ac:dyDescent="0.25">
      <c r="B209" s="661">
        <v>39673</v>
      </c>
      <c r="C209" s="662" t="s">
        <v>2351</v>
      </c>
      <c r="D209" s="669" t="s">
        <v>316</v>
      </c>
      <c r="E209" s="651" t="s">
        <v>358</v>
      </c>
      <c r="F209" s="663" t="s">
        <v>357</v>
      </c>
      <c r="G209" s="651" t="s">
        <v>28</v>
      </c>
      <c r="H209" s="651" t="s">
        <v>318</v>
      </c>
      <c r="I209" s="651" t="s">
        <v>319</v>
      </c>
      <c r="J209" s="664">
        <v>0</v>
      </c>
      <c r="K209" s="665">
        <v>36.1</v>
      </c>
      <c r="L209" s="655">
        <f t="shared" si="19"/>
        <v>0</v>
      </c>
      <c r="M209" s="666">
        <v>60</v>
      </c>
      <c r="N209" s="667">
        <f t="shared" si="20"/>
        <v>0</v>
      </c>
      <c r="O209" s="668">
        <f t="shared" ca="1" si="21"/>
        <v>188</v>
      </c>
      <c r="P209" s="655">
        <f t="shared" ca="1" si="22"/>
        <v>0</v>
      </c>
      <c r="Q209" s="667">
        <f t="shared" ca="1" si="23"/>
        <v>1</v>
      </c>
      <c r="R209" s="669" t="s">
        <v>320</v>
      </c>
    </row>
    <row r="210" spans="2:18" ht="39.950000000000003" customHeight="1" x14ac:dyDescent="0.25">
      <c r="B210" s="661">
        <v>39673</v>
      </c>
      <c r="C210" s="662" t="s">
        <v>2351</v>
      </c>
      <c r="D210" s="669" t="s">
        <v>316</v>
      </c>
      <c r="E210" s="651" t="s">
        <v>359</v>
      </c>
      <c r="F210" s="663" t="s">
        <v>360</v>
      </c>
      <c r="G210" s="651" t="s">
        <v>28</v>
      </c>
      <c r="H210" s="651" t="s">
        <v>318</v>
      </c>
      <c r="I210" s="651" t="s">
        <v>319</v>
      </c>
      <c r="J210" s="664">
        <v>0</v>
      </c>
      <c r="K210" s="665">
        <v>36.1</v>
      </c>
      <c r="L210" s="655">
        <f t="shared" si="19"/>
        <v>0</v>
      </c>
      <c r="M210" s="666">
        <v>60</v>
      </c>
      <c r="N210" s="667">
        <f t="shared" si="20"/>
        <v>0</v>
      </c>
      <c r="O210" s="668">
        <f t="shared" ca="1" si="21"/>
        <v>188</v>
      </c>
      <c r="P210" s="655">
        <f t="shared" ca="1" si="22"/>
        <v>0</v>
      </c>
      <c r="Q210" s="667">
        <f t="shared" ca="1" si="23"/>
        <v>1</v>
      </c>
      <c r="R210" s="669" t="s">
        <v>320</v>
      </c>
    </row>
    <row r="211" spans="2:18" ht="39.950000000000003" customHeight="1" x14ac:dyDescent="0.25">
      <c r="B211" s="661">
        <v>39673</v>
      </c>
      <c r="C211" s="662" t="s">
        <v>2351</v>
      </c>
      <c r="D211" s="669" t="s">
        <v>316</v>
      </c>
      <c r="E211" s="651" t="s">
        <v>361</v>
      </c>
      <c r="F211" s="663" t="s">
        <v>362</v>
      </c>
      <c r="G211" s="651" t="s">
        <v>28</v>
      </c>
      <c r="H211" s="651" t="s">
        <v>318</v>
      </c>
      <c r="I211" s="651" t="s">
        <v>319</v>
      </c>
      <c r="J211" s="664">
        <v>0</v>
      </c>
      <c r="K211" s="665">
        <v>36.1</v>
      </c>
      <c r="L211" s="655">
        <f t="shared" si="19"/>
        <v>0</v>
      </c>
      <c r="M211" s="666">
        <v>60</v>
      </c>
      <c r="N211" s="667">
        <f t="shared" si="20"/>
        <v>0</v>
      </c>
      <c r="O211" s="668">
        <f t="shared" ca="1" si="21"/>
        <v>188</v>
      </c>
      <c r="P211" s="655">
        <f t="shared" ca="1" si="22"/>
        <v>0</v>
      </c>
      <c r="Q211" s="667">
        <f t="shared" ca="1" si="23"/>
        <v>1</v>
      </c>
      <c r="R211" s="669" t="s">
        <v>320</v>
      </c>
    </row>
    <row r="212" spans="2:18" ht="39.950000000000003" customHeight="1" x14ac:dyDescent="0.25">
      <c r="B212" s="661">
        <v>39673</v>
      </c>
      <c r="C212" s="662" t="s">
        <v>2351</v>
      </c>
      <c r="D212" s="669" t="s">
        <v>316</v>
      </c>
      <c r="E212" s="651" t="s">
        <v>363</v>
      </c>
      <c r="F212" s="663" t="s">
        <v>362</v>
      </c>
      <c r="G212" s="651" t="s">
        <v>28</v>
      </c>
      <c r="H212" s="651" t="s">
        <v>318</v>
      </c>
      <c r="I212" s="651" t="s">
        <v>319</v>
      </c>
      <c r="J212" s="664">
        <v>0</v>
      </c>
      <c r="K212" s="665">
        <v>36.1</v>
      </c>
      <c r="L212" s="655">
        <f t="shared" si="19"/>
        <v>0</v>
      </c>
      <c r="M212" s="666">
        <v>60</v>
      </c>
      <c r="N212" s="667">
        <f t="shared" si="20"/>
        <v>0</v>
      </c>
      <c r="O212" s="668">
        <f t="shared" ca="1" si="21"/>
        <v>188</v>
      </c>
      <c r="P212" s="655">
        <f t="shared" ca="1" si="22"/>
        <v>0</v>
      </c>
      <c r="Q212" s="667">
        <f t="shared" ca="1" si="23"/>
        <v>1</v>
      </c>
      <c r="R212" s="669" t="s">
        <v>320</v>
      </c>
    </row>
    <row r="213" spans="2:18" ht="54.75" customHeight="1" x14ac:dyDescent="0.25">
      <c r="B213" s="661">
        <v>39779</v>
      </c>
      <c r="C213" s="662" t="s">
        <v>2351</v>
      </c>
      <c r="D213" s="671" t="s">
        <v>364</v>
      </c>
      <c r="E213" s="651" t="s">
        <v>365</v>
      </c>
      <c r="F213" s="663" t="s">
        <v>366</v>
      </c>
      <c r="G213" s="651" t="s">
        <v>367</v>
      </c>
      <c r="H213" s="651" t="s">
        <v>23</v>
      </c>
      <c r="I213" s="651" t="s">
        <v>368</v>
      </c>
      <c r="J213" s="664">
        <v>626260</v>
      </c>
      <c r="K213" s="665">
        <v>34.200000000000003</v>
      </c>
      <c r="L213" s="655">
        <f t="shared" si="19"/>
        <v>18311.695906432746</v>
      </c>
      <c r="M213" s="666">
        <v>60</v>
      </c>
      <c r="N213" s="667">
        <f t="shared" si="20"/>
        <v>10437.666666666666</v>
      </c>
      <c r="O213" s="668">
        <f t="shared" ca="1" si="21"/>
        <v>184</v>
      </c>
      <c r="P213" s="655">
        <f t="shared" ca="1" si="22"/>
        <v>-1294270.6666666665</v>
      </c>
      <c r="Q213" s="667">
        <f t="shared" ca="1" si="23"/>
        <v>1</v>
      </c>
      <c r="R213" s="669" t="s">
        <v>369</v>
      </c>
    </row>
    <row r="214" spans="2:18" ht="39.950000000000003" customHeight="1" x14ac:dyDescent="0.25">
      <c r="B214" s="661">
        <v>39861</v>
      </c>
      <c r="C214" s="662" t="s">
        <v>2351</v>
      </c>
      <c r="D214" s="669" t="s">
        <v>371</v>
      </c>
      <c r="E214" s="651" t="s">
        <v>372</v>
      </c>
      <c r="F214" s="663" t="s">
        <v>373</v>
      </c>
      <c r="G214" s="651" t="s">
        <v>28</v>
      </c>
      <c r="H214" s="651" t="s">
        <v>23</v>
      </c>
      <c r="I214" s="651" t="s">
        <v>374</v>
      </c>
      <c r="J214" s="664">
        <v>3308</v>
      </c>
      <c r="K214" s="665">
        <v>35.65</v>
      </c>
      <c r="L214" s="655">
        <f t="shared" ref="L214:L253" si="24">+J214/K214</f>
        <v>92.791023842917255</v>
      </c>
      <c r="M214" s="666">
        <v>60</v>
      </c>
      <c r="N214" s="667">
        <f t="shared" ref="N214:N253" si="25">IF(AND(J214&lt;&gt;0,M214&lt;&gt;0),J214/M214,0)</f>
        <v>55.133333333333333</v>
      </c>
      <c r="O214" s="668">
        <f t="shared" ref="O214:O253" ca="1" si="26">IF(B214&lt;&gt;0,(ROUND((NOW()-B214)/30,0)),0)</f>
        <v>181</v>
      </c>
      <c r="P214" s="655">
        <f t="shared" ref="P214:P253" ca="1" si="27">IF(OR(J214=0,M214=0,O214=0),0,J214-(N214*O214))</f>
        <v>-6671.1333333333332</v>
      </c>
      <c r="Q214" s="667">
        <f t="shared" ca="1" si="23"/>
        <v>1</v>
      </c>
      <c r="R214" s="669" t="s">
        <v>30</v>
      </c>
    </row>
    <row r="215" spans="2:18" ht="39.950000000000003" customHeight="1" x14ac:dyDescent="0.25">
      <c r="B215" s="661">
        <v>39861</v>
      </c>
      <c r="C215" s="662" t="s">
        <v>2351</v>
      </c>
      <c r="D215" s="669" t="s">
        <v>371</v>
      </c>
      <c r="E215" s="651" t="s">
        <v>375</v>
      </c>
      <c r="F215" s="663" t="s">
        <v>373</v>
      </c>
      <c r="G215" s="651" t="s">
        <v>28</v>
      </c>
      <c r="H215" s="651" t="s">
        <v>23</v>
      </c>
      <c r="I215" s="651" t="s">
        <v>374</v>
      </c>
      <c r="J215" s="664">
        <v>3308</v>
      </c>
      <c r="K215" s="665">
        <v>35.65</v>
      </c>
      <c r="L215" s="655">
        <f t="shared" si="24"/>
        <v>92.791023842917255</v>
      </c>
      <c r="M215" s="666">
        <v>60</v>
      </c>
      <c r="N215" s="667">
        <f t="shared" si="25"/>
        <v>55.133333333333333</v>
      </c>
      <c r="O215" s="668">
        <f t="shared" ca="1" si="26"/>
        <v>181</v>
      </c>
      <c r="P215" s="655">
        <f t="shared" ca="1" si="27"/>
        <v>-6671.1333333333332</v>
      </c>
      <c r="Q215" s="667">
        <f t="shared" ca="1" si="23"/>
        <v>1</v>
      </c>
      <c r="R215" s="669" t="s">
        <v>30</v>
      </c>
    </row>
    <row r="216" spans="2:18" ht="39.950000000000003" customHeight="1" x14ac:dyDescent="0.25">
      <c r="B216" s="661">
        <v>39861</v>
      </c>
      <c r="C216" s="662" t="s">
        <v>2351</v>
      </c>
      <c r="D216" s="669" t="s">
        <v>371</v>
      </c>
      <c r="E216" s="651" t="s">
        <v>376</v>
      </c>
      <c r="F216" s="663" t="s">
        <v>373</v>
      </c>
      <c r="G216" s="651" t="s">
        <v>28</v>
      </c>
      <c r="H216" s="651" t="s">
        <v>23</v>
      </c>
      <c r="I216" s="651" t="s">
        <v>374</v>
      </c>
      <c r="J216" s="664">
        <v>3308</v>
      </c>
      <c r="K216" s="665">
        <v>35.65</v>
      </c>
      <c r="L216" s="655">
        <f t="shared" si="24"/>
        <v>92.791023842917255</v>
      </c>
      <c r="M216" s="666">
        <v>60</v>
      </c>
      <c r="N216" s="667">
        <f t="shared" si="25"/>
        <v>55.133333333333333</v>
      </c>
      <c r="O216" s="668">
        <f t="shared" ca="1" si="26"/>
        <v>181</v>
      </c>
      <c r="P216" s="655">
        <f t="shared" ca="1" si="27"/>
        <v>-6671.1333333333332</v>
      </c>
      <c r="Q216" s="667">
        <f t="shared" ca="1" si="23"/>
        <v>1</v>
      </c>
      <c r="R216" s="669" t="s">
        <v>30</v>
      </c>
    </row>
    <row r="217" spans="2:18" ht="39.950000000000003" customHeight="1" x14ac:dyDescent="0.25">
      <c r="B217" s="661">
        <v>39861</v>
      </c>
      <c r="C217" s="662" t="s">
        <v>2351</v>
      </c>
      <c r="D217" s="669" t="s">
        <v>371</v>
      </c>
      <c r="E217" s="651" t="s">
        <v>377</v>
      </c>
      <c r="F217" s="663" t="s">
        <v>373</v>
      </c>
      <c r="G217" s="651" t="s">
        <v>28</v>
      </c>
      <c r="H217" s="651" t="s">
        <v>23</v>
      </c>
      <c r="I217" s="651" t="s">
        <v>374</v>
      </c>
      <c r="J217" s="664">
        <v>3308</v>
      </c>
      <c r="K217" s="665">
        <v>35.65</v>
      </c>
      <c r="L217" s="655">
        <f t="shared" si="24"/>
        <v>92.791023842917255</v>
      </c>
      <c r="M217" s="666">
        <v>60</v>
      </c>
      <c r="N217" s="667">
        <f t="shared" si="25"/>
        <v>55.133333333333333</v>
      </c>
      <c r="O217" s="668">
        <f t="shared" ca="1" si="26"/>
        <v>181</v>
      </c>
      <c r="P217" s="655">
        <f t="shared" ca="1" si="27"/>
        <v>-6671.1333333333332</v>
      </c>
      <c r="Q217" s="667">
        <f t="shared" ca="1" si="23"/>
        <v>1</v>
      </c>
      <c r="R217" s="669" t="s">
        <v>30</v>
      </c>
    </row>
    <row r="218" spans="2:18" ht="39.950000000000003" customHeight="1" x14ac:dyDescent="0.25">
      <c r="B218" s="661">
        <v>39861</v>
      </c>
      <c r="C218" s="662" t="s">
        <v>2351</v>
      </c>
      <c r="D218" s="669" t="s">
        <v>371</v>
      </c>
      <c r="E218" s="651" t="s">
        <v>378</v>
      </c>
      <c r="F218" s="663" t="s">
        <v>373</v>
      </c>
      <c r="G218" s="651" t="s">
        <v>28</v>
      </c>
      <c r="H218" s="651" t="s">
        <v>23</v>
      </c>
      <c r="I218" s="651" t="s">
        <v>374</v>
      </c>
      <c r="J218" s="664">
        <v>3308</v>
      </c>
      <c r="K218" s="665">
        <v>35.65</v>
      </c>
      <c r="L218" s="655">
        <f t="shared" si="24"/>
        <v>92.791023842917255</v>
      </c>
      <c r="M218" s="666">
        <v>60</v>
      </c>
      <c r="N218" s="667">
        <f t="shared" si="25"/>
        <v>55.133333333333333</v>
      </c>
      <c r="O218" s="668">
        <f t="shared" ca="1" si="26"/>
        <v>181</v>
      </c>
      <c r="P218" s="655">
        <f t="shared" ca="1" si="27"/>
        <v>-6671.1333333333332</v>
      </c>
      <c r="Q218" s="667">
        <f t="shared" ca="1" si="23"/>
        <v>1</v>
      </c>
      <c r="R218" s="669" t="s">
        <v>30</v>
      </c>
    </row>
    <row r="219" spans="2:18" ht="39.950000000000003" customHeight="1" x14ac:dyDescent="0.25">
      <c r="B219" s="661">
        <v>39861</v>
      </c>
      <c r="C219" s="662" t="s">
        <v>2351</v>
      </c>
      <c r="D219" s="669" t="s">
        <v>371</v>
      </c>
      <c r="E219" s="651" t="s">
        <v>379</v>
      </c>
      <c r="F219" s="663" t="s">
        <v>373</v>
      </c>
      <c r="G219" s="651" t="s">
        <v>28</v>
      </c>
      <c r="H219" s="651" t="s">
        <v>23</v>
      </c>
      <c r="I219" s="651" t="s">
        <v>374</v>
      </c>
      <c r="J219" s="664">
        <v>3308</v>
      </c>
      <c r="K219" s="665">
        <v>35.65</v>
      </c>
      <c r="L219" s="655">
        <f t="shared" si="24"/>
        <v>92.791023842917255</v>
      </c>
      <c r="M219" s="666">
        <v>60</v>
      </c>
      <c r="N219" s="667">
        <f t="shared" si="25"/>
        <v>55.133333333333333</v>
      </c>
      <c r="O219" s="668">
        <f t="shared" ca="1" si="26"/>
        <v>181</v>
      </c>
      <c r="P219" s="655">
        <f t="shared" ca="1" si="27"/>
        <v>-6671.1333333333332</v>
      </c>
      <c r="Q219" s="667">
        <f t="shared" ca="1" si="23"/>
        <v>1</v>
      </c>
      <c r="R219" s="669" t="s">
        <v>30</v>
      </c>
    </row>
    <row r="220" spans="2:18" ht="39.950000000000003" customHeight="1" x14ac:dyDescent="0.25">
      <c r="B220" s="661">
        <v>39862</v>
      </c>
      <c r="C220" s="662" t="s">
        <v>2351</v>
      </c>
      <c r="D220" s="669" t="s">
        <v>380</v>
      </c>
      <c r="E220" s="651" t="s">
        <v>381</v>
      </c>
      <c r="F220" s="663" t="s">
        <v>382</v>
      </c>
      <c r="G220" s="651" t="s">
        <v>28</v>
      </c>
      <c r="H220" s="651" t="s">
        <v>23</v>
      </c>
      <c r="I220" s="651" t="s">
        <v>194</v>
      </c>
      <c r="J220" s="664">
        <v>10828.33</v>
      </c>
      <c r="K220" s="665">
        <v>35.65</v>
      </c>
      <c r="L220" s="655">
        <f t="shared" si="24"/>
        <v>303.73997194950914</v>
      </c>
      <c r="M220" s="666">
        <v>60</v>
      </c>
      <c r="N220" s="667">
        <f t="shared" si="25"/>
        <v>180.47216666666665</v>
      </c>
      <c r="O220" s="668">
        <f t="shared" ca="1" si="26"/>
        <v>181</v>
      </c>
      <c r="P220" s="655">
        <f t="shared" ca="1" si="27"/>
        <v>-21837.132166666663</v>
      </c>
      <c r="Q220" s="667">
        <f t="shared" ca="1" si="23"/>
        <v>1</v>
      </c>
      <c r="R220" s="669" t="s">
        <v>383</v>
      </c>
    </row>
    <row r="221" spans="2:18" ht="39.950000000000003" customHeight="1" x14ac:dyDescent="0.25">
      <c r="B221" s="661">
        <v>39862</v>
      </c>
      <c r="C221" s="662" t="s">
        <v>2351</v>
      </c>
      <c r="D221" s="669" t="s">
        <v>380</v>
      </c>
      <c r="E221" s="651" t="s">
        <v>384</v>
      </c>
      <c r="F221" s="663" t="s">
        <v>382</v>
      </c>
      <c r="G221" s="651" t="s">
        <v>28</v>
      </c>
      <c r="H221" s="651" t="s">
        <v>23</v>
      </c>
      <c r="I221" s="651" t="s">
        <v>194</v>
      </c>
      <c r="J221" s="664">
        <v>10828.33</v>
      </c>
      <c r="K221" s="665">
        <v>35.65</v>
      </c>
      <c r="L221" s="655">
        <f t="shared" si="24"/>
        <v>303.73997194950914</v>
      </c>
      <c r="M221" s="666">
        <v>60</v>
      </c>
      <c r="N221" s="667">
        <f t="shared" si="25"/>
        <v>180.47216666666665</v>
      </c>
      <c r="O221" s="668">
        <f t="shared" ca="1" si="26"/>
        <v>181</v>
      </c>
      <c r="P221" s="655">
        <f t="shared" ca="1" si="27"/>
        <v>-21837.132166666663</v>
      </c>
      <c r="Q221" s="667">
        <f t="shared" ca="1" si="23"/>
        <v>1</v>
      </c>
      <c r="R221" s="669" t="s">
        <v>383</v>
      </c>
    </row>
    <row r="222" spans="2:18" ht="39.950000000000003" customHeight="1" x14ac:dyDescent="0.25">
      <c r="B222" s="661">
        <v>39862</v>
      </c>
      <c r="C222" s="662" t="s">
        <v>2351</v>
      </c>
      <c r="D222" s="669" t="s">
        <v>380</v>
      </c>
      <c r="E222" s="651" t="s">
        <v>385</v>
      </c>
      <c r="F222" s="663" t="s">
        <v>382</v>
      </c>
      <c r="G222" s="651" t="s">
        <v>28</v>
      </c>
      <c r="H222" s="651" t="s">
        <v>23</v>
      </c>
      <c r="I222" s="651" t="s">
        <v>194</v>
      </c>
      <c r="J222" s="664">
        <v>10828.33</v>
      </c>
      <c r="K222" s="665">
        <v>35.65</v>
      </c>
      <c r="L222" s="655">
        <f t="shared" si="24"/>
        <v>303.73997194950914</v>
      </c>
      <c r="M222" s="666">
        <v>60</v>
      </c>
      <c r="N222" s="667">
        <f t="shared" si="25"/>
        <v>180.47216666666665</v>
      </c>
      <c r="O222" s="668">
        <f t="shared" ca="1" si="26"/>
        <v>181</v>
      </c>
      <c r="P222" s="655">
        <f t="shared" ca="1" si="27"/>
        <v>-21837.132166666663</v>
      </c>
      <c r="Q222" s="667">
        <f t="shared" ca="1" si="23"/>
        <v>1</v>
      </c>
      <c r="R222" s="669" t="s">
        <v>383</v>
      </c>
    </row>
    <row r="223" spans="2:18" ht="39.950000000000003" customHeight="1" x14ac:dyDescent="0.25">
      <c r="B223" s="661">
        <v>39862</v>
      </c>
      <c r="C223" s="662" t="s">
        <v>2351</v>
      </c>
      <c r="D223" s="669" t="s">
        <v>380</v>
      </c>
      <c r="E223" s="651" t="s">
        <v>386</v>
      </c>
      <c r="F223" s="663" t="s">
        <v>288</v>
      </c>
      <c r="G223" s="651" t="s">
        <v>28</v>
      </c>
      <c r="H223" s="651" t="s">
        <v>23</v>
      </c>
      <c r="I223" s="651" t="s">
        <v>194</v>
      </c>
      <c r="J223" s="664">
        <v>15850</v>
      </c>
      <c r="K223" s="665">
        <v>35.65</v>
      </c>
      <c r="L223" s="655">
        <f t="shared" si="24"/>
        <v>444.60028050490888</v>
      </c>
      <c r="M223" s="666">
        <v>60</v>
      </c>
      <c r="N223" s="667">
        <f t="shared" si="25"/>
        <v>264.16666666666669</v>
      </c>
      <c r="O223" s="668">
        <f t="shared" ca="1" si="26"/>
        <v>181</v>
      </c>
      <c r="P223" s="655">
        <f t="shared" ca="1" si="27"/>
        <v>-31964.166666666672</v>
      </c>
      <c r="Q223" s="667">
        <f t="shared" ca="1" si="23"/>
        <v>1</v>
      </c>
      <c r="R223" s="669" t="s">
        <v>383</v>
      </c>
    </row>
    <row r="224" spans="2:18" ht="39.950000000000003" customHeight="1" x14ac:dyDescent="0.25">
      <c r="B224" s="661">
        <v>39862</v>
      </c>
      <c r="C224" s="662" t="s">
        <v>2351</v>
      </c>
      <c r="D224" s="669" t="s">
        <v>380</v>
      </c>
      <c r="E224" s="651" t="s">
        <v>387</v>
      </c>
      <c r="F224" s="663" t="s">
        <v>288</v>
      </c>
      <c r="G224" s="651" t="s">
        <v>28</v>
      </c>
      <c r="H224" s="651" t="s">
        <v>23</v>
      </c>
      <c r="I224" s="651" t="s">
        <v>194</v>
      </c>
      <c r="J224" s="664">
        <v>15850</v>
      </c>
      <c r="K224" s="665">
        <v>35.65</v>
      </c>
      <c r="L224" s="655">
        <f t="shared" si="24"/>
        <v>444.60028050490888</v>
      </c>
      <c r="M224" s="666">
        <v>60</v>
      </c>
      <c r="N224" s="667">
        <f t="shared" si="25"/>
        <v>264.16666666666669</v>
      </c>
      <c r="O224" s="668">
        <f t="shared" ca="1" si="26"/>
        <v>181</v>
      </c>
      <c r="P224" s="655">
        <f t="shared" ca="1" si="27"/>
        <v>-31964.166666666672</v>
      </c>
      <c r="Q224" s="667">
        <f t="shared" ca="1" si="23"/>
        <v>1</v>
      </c>
      <c r="R224" s="669" t="s">
        <v>383</v>
      </c>
    </row>
    <row r="225" spans="2:18" ht="39.950000000000003" customHeight="1" x14ac:dyDescent="0.25">
      <c r="B225" s="661">
        <v>39877</v>
      </c>
      <c r="C225" s="662" t="s">
        <v>2351</v>
      </c>
      <c r="D225" s="669" t="s">
        <v>388</v>
      </c>
      <c r="E225" s="651" t="s">
        <v>389</v>
      </c>
      <c r="F225" s="663" t="s">
        <v>390</v>
      </c>
      <c r="G225" s="651" t="s">
        <v>28</v>
      </c>
      <c r="H225" s="651" t="s">
        <v>23</v>
      </c>
      <c r="I225" s="651" t="s">
        <v>374</v>
      </c>
      <c r="J225" s="664">
        <v>62198.639999999992</v>
      </c>
      <c r="K225" s="672">
        <v>35.770000000000003</v>
      </c>
      <c r="L225" s="655">
        <f t="shared" si="24"/>
        <v>1738.8493150684928</v>
      </c>
      <c r="M225" s="666">
        <v>60</v>
      </c>
      <c r="N225" s="667">
        <f t="shared" si="25"/>
        <v>1036.6439999999998</v>
      </c>
      <c r="O225" s="668">
        <f t="shared" ca="1" si="26"/>
        <v>181</v>
      </c>
      <c r="P225" s="655">
        <f t="shared" ca="1" si="27"/>
        <v>-125433.92399999997</v>
      </c>
      <c r="Q225" s="667">
        <f t="shared" ca="1" si="23"/>
        <v>1</v>
      </c>
      <c r="R225" s="669" t="s">
        <v>391</v>
      </c>
    </row>
    <row r="226" spans="2:18" ht="52.5" customHeight="1" x14ac:dyDescent="0.25">
      <c r="B226" s="661">
        <v>39902</v>
      </c>
      <c r="C226" s="662" t="s">
        <v>2351</v>
      </c>
      <c r="D226" s="669" t="s">
        <v>392</v>
      </c>
      <c r="E226" s="651" t="s">
        <v>393</v>
      </c>
      <c r="F226" s="663" t="s">
        <v>394</v>
      </c>
      <c r="G226" s="651" t="s">
        <v>28</v>
      </c>
      <c r="H226" s="651" t="s">
        <v>395</v>
      </c>
      <c r="I226" s="651" t="s">
        <v>396</v>
      </c>
      <c r="J226" s="664">
        <v>1125</v>
      </c>
      <c r="K226" s="672">
        <v>35.770000000000003</v>
      </c>
      <c r="L226" s="655">
        <f t="shared" si="24"/>
        <v>31.450936538999159</v>
      </c>
      <c r="M226" s="666">
        <v>60</v>
      </c>
      <c r="N226" s="667">
        <f t="shared" si="25"/>
        <v>18.75</v>
      </c>
      <c r="O226" s="668">
        <f t="shared" ca="1" si="26"/>
        <v>180</v>
      </c>
      <c r="P226" s="655">
        <f t="shared" ca="1" si="27"/>
        <v>-2250</v>
      </c>
      <c r="Q226" s="667">
        <f t="shared" ca="1" si="23"/>
        <v>1</v>
      </c>
      <c r="R226" s="669" t="s">
        <v>397</v>
      </c>
    </row>
    <row r="227" spans="2:18" ht="39.950000000000003" customHeight="1" x14ac:dyDescent="0.25">
      <c r="B227" s="661">
        <v>39902</v>
      </c>
      <c r="C227" s="662" t="s">
        <v>2351</v>
      </c>
      <c r="D227" s="669" t="s">
        <v>392</v>
      </c>
      <c r="E227" s="651" t="s">
        <v>398</v>
      </c>
      <c r="F227" s="663" t="s">
        <v>399</v>
      </c>
      <c r="G227" s="651" t="s">
        <v>28</v>
      </c>
      <c r="H227" s="651" t="s">
        <v>395</v>
      </c>
      <c r="I227" s="651" t="s">
        <v>396</v>
      </c>
      <c r="J227" s="664">
        <v>26305</v>
      </c>
      <c r="K227" s="672">
        <v>35.770000000000003</v>
      </c>
      <c r="L227" s="655">
        <f t="shared" si="24"/>
        <v>735.39278725188694</v>
      </c>
      <c r="M227" s="666">
        <v>60</v>
      </c>
      <c r="N227" s="667">
        <f t="shared" si="25"/>
        <v>438.41666666666669</v>
      </c>
      <c r="O227" s="668">
        <f t="shared" ca="1" si="26"/>
        <v>180</v>
      </c>
      <c r="P227" s="655">
        <f t="shared" ca="1" si="27"/>
        <v>-52610</v>
      </c>
      <c r="Q227" s="667">
        <f t="shared" ca="1" si="23"/>
        <v>1</v>
      </c>
      <c r="R227" s="669" t="s">
        <v>397</v>
      </c>
    </row>
    <row r="228" spans="2:18" ht="39.950000000000003" customHeight="1" x14ac:dyDescent="0.25">
      <c r="B228" s="661">
        <v>39902</v>
      </c>
      <c r="C228" s="662" t="s">
        <v>2351</v>
      </c>
      <c r="D228" s="669" t="s">
        <v>400</v>
      </c>
      <c r="E228" s="651" t="s">
        <v>401</v>
      </c>
      <c r="F228" s="663" t="s">
        <v>402</v>
      </c>
      <c r="G228" s="651" t="s">
        <v>28</v>
      </c>
      <c r="H228" s="651" t="s">
        <v>395</v>
      </c>
      <c r="I228" s="651" t="s">
        <v>396</v>
      </c>
      <c r="J228" s="664">
        <v>3960</v>
      </c>
      <c r="K228" s="672">
        <v>35.770000000000003</v>
      </c>
      <c r="L228" s="655">
        <f t="shared" si="24"/>
        <v>110.70729661727704</v>
      </c>
      <c r="M228" s="666">
        <v>60</v>
      </c>
      <c r="N228" s="667">
        <f t="shared" si="25"/>
        <v>66</v>
      </c>
      <c r="O228" s="668">
        <f t="shared" ca="1" si="26"/>
        <v>180</v>
      </c>
      <c r="P228" s="655">
        <f t="shared" ca="1" si="27"/>
        <v>-7920</v>
      </c>
      <c r="Q228" s="667">
        <f t="shared" ca="1" si="23"/>
        <v>1</v>
      </c>
      <c r="R228" s="669" t="s">
        <v>403</v>
      </c>
    </row>
    <row r="229" spans="2:18" ht="39.950000000000003" customHeight="1" x14ac:dyDescent="0.25">
      <c r="B229" s="661">
        <v>39902</v>
      </c>
      <c r="C229" s="662" t="s">
        <v>2351</v>
      </c>
      <c r="D229" s="669" t="s">
        <v>400</v>
      </c>
      <c r="E229" s="651" t="s">
        <v>404</v>
      </c>
      <c r="F229" s="663" t="s">
        <v>352</v>
      </c>
      <c r="G229" s="651" t="s">
        <v>28</v>
      </c>
      <c r="H229" s="651" t="s">
        <v>395</v>
      </c>
      <c r="I229" s="651" t="s">
        <v>396</v>
      </c>
      <c r="J229" s="664">
        <v>6860</v>
      </c>
      <c r="K229" s="672">
        <v>35.770000000000003</v>
      </c>
      <c r="L229" s="655">
        <f t="shared" si="24"/>
        <v>191.7808219178082</v>
      </c>
      <c r="M229" s="666">
        <v>60</v>
      </c>
      <c r="N229" s="667">
        <f t="shared" si="25"/>
        <v>114.33333333333333</v>
      </c>
      <c r="O229" s="668">
        <f t="shared" ca="1" si="26"/>
        <v>180</v>
      </c>
      <c r="P229" s="655">
        <f t="shared" ca="1" si="27"/>
        <v>-13720</v>
      </c>
      <c r="Q229" s="667">
        <f t="shared" ca="1" si="23"/>
        <v>1</v>
      </c>
      <c r="R229" s="669" t="s">
        <v>403</v>
      </c>
    </row>
    <row r="230" spans="2:18" ht="39.950000000000003" customHeight="1" x14ac:dyDescent="0.25">
      <c r="B230" s="661">
        <v>39902</v>
      </c>
      <c r="C230" s="662" t="s">
        <v>2351</v>
      </c>
      <c r="D230" s="669" t="s">
        <v>400</v>
      </c>
      <c r="E230" s="651" t="s">
        <v>405</v>
      </c>
      <c r="F230" s="663" t="s">
        <v>406</v>
      </c>
      <c r="G230" s="651" t="s">
        <v>28</v>
      </c>
      <c r="H230" s="651" t="s">
        <v>395</v>
      </c>
      <c r="I230" s="651" t="s">
        <v>396</v>
      </c>
      <c r="J230" s="664">
        <v>6500</v>
      </c>
      <c r="K230" s="672">
        <v>35.770000000000003</v>
      </c>
      <c r="L230" s="655">
        <f t="shared" si="24"/>
        <v>181.71652222532848</v>
      </c>
      <c r="M230" s="666">
        <v>60</v>
      </c>
      <c r="N230" s="667">
        <f t="shared" si="25"/>
        <v>108.33333333333333</v>
      </c>
      <c r="O230" s="668">
        <f t="shared" ca="1" si="26"/>
        <v>180</v>
      </c>
      <c r="P230" s="655">
        <f t="shared" ca="1" si="27"/>
        <v>-13000</v>
      </c>
      <c r="Q230" s="667">
        <f t="shared" ca="1" si="23"/>
        <v>1</v>
      </c>
      <c r="R230" s="669" t="s">
        <v>403</v>
      </c>
    </row>
    <row r="231" spans="2:18" ht="39.950000000000003" customHeight="1" x14ac:dyDescent="0.25">
      <c r="B231" s="661">
        <v>39902</v>
      </c>
      <c r="C231" s="662" t="s">
        <v>2351</v>
      </c>
      <c r="D231" s="669" t="s">
        <v>400</v>
      </c>
      <c r="E231" s="651" t="s">
        <v>407</v>
      </c>
      <c r="F231" s="663" t="s">
        <v>408</v>
      </c>
      <c r="G231" s="651" t="s">
        <v>28</v>
      </c>
      <c r="H231" s="651" t="s">
        <v>4417</v>
      </c>
      <c r="I231" s="651" t="s">
        <v>396</v>
      </c>
      <c r="J231" s="664">
        <v>4850</v>
      </c>
      <c r="K231" s="672">
        <v>35.770000000000003</v>
      </c>
      <c r="L231" s="655">
        <f t="shared" si="24"/>
        <v>135.58848196812971</v>
      </c>
      <c r="M231" s="666">
        <v>60</v>
      </c>
      <c r="N231" s="667">
        <f t="shared" si="25"/>
        <v>80.833333333333329</v>
      </c>
      <c r="O231" s="668">
        <f t="shared" ca="1" si="26"/>
        <v>180</v>
      </c>
      <c r="P231" s="655">
        <f t="shared" ca="1" si="27"/>
        <v>-9700</v>
      </c>
      <c r="Q231" s="667">
        <f t="shared" ca="1" si="23"/>
        <v>1</v>
      </c>
      <c r="R231" s="669" t="s">
        <v>403</v>
      </c>
    </row>
    <row r="232" spans="2:18" ht="39.950000000000003" customHeight="1" x14ac:dyDescent="0.25">
      <c r="B232" s="661">
        <v>39902</v>
      </c>
      <c r="C232" s="662" t="s">
        <v>2351</v>
      </c>
      <c r="D232" s="669" t="s">
        <v>400</v>
      </c>
      <c r="E232" s="651" t="s">
        <v>409</v>
      </c>
      <c r="F232" s="663" t="s">
        <v>410</v>
      </c>
      <c r="G232" s="651" t="s">
        <v>28</v>
      </c>
      <c r="H232" s="651" t="s">
        <v>395</v>
      </c>
      <c r="I232" s="651" t="s">
        <v>396</v>
      </c>
      <c r="J232" s="664">
        <v>1125</v>
      </c>
      <c r="K232" s="672">
        <v>35.770000000000003</v>
      </c>
      <c r="L232" s="655">
        <f t="shared" si="24"/>
        <v>31.450936538999159</v>
      </c>
      <c r="M232" s="666">
        <v>60</v>
      </c>
      <c r="N232" s="667">
        <f t="shared" si="25"/>
        <v>18.75</v>
      </c>
      <c r="O232" s="668">
        <f t="shared" ca="1" si="26"/>
        <v>180</v>
      </c>
      <c r="P232" s="655">
        <f t="shared" ca="1" si="27"/>
        <v>-2250</v>
      </c>
      <c r="Q232" s="667">
        <f t="shared" ca="1" si="23"/>
        <v>1</v>
      </c>
      <c r="R232" s="669" t="s">
        <v>403</v>
      </c>
    </row>
    <row r="233" spans="2:18" ht="39.950000000000003" customHeight="1" x14ac:dyDescent="0.25">
      <c r="B233" s="661">
        <v>39902</v>
      </c>
      <c r="C233" s="662" t="s">
        <v>2351</v>
      </c>
      <c r="D233" s="669" t="s">
        <v>400</v>
      </c>
      <c r="E233" s="651" t="s">
        <v>411</v>
      </c>
      <c r="F233" s="663" t="s">
        <v>410</v>
      </c>
      <c r="G233" s="651" t="s">
        <v>28</v>
      </c>
      <c r="H233" s="651" t="s">
        <v>395</v>
      </c>
      <c r="I233" s="651" t="s">
        <v>396</v>
      </c>
      <c r="J233" s="664">
        <v>1125</v>
      </c>
      <c r="K233" s="672">
        <v>35.770000000000003</v>
      </c>
      <c r="L233" s="655">
        <f t="shared" si="24"/>
        <v>31.450936538999159</v>
      </c>
      <c r="M233" s="666">
        <v>60</v>
      </c>
      <c r="N233" s="667">
        <f t="shared" si="25"/>
        <v>18.75</v>
      </c>
      <c r="O233" s="668">
        <f t="shared" ca="1" si="26"/>
        <v>180</v>
      </c>
      <c r="P233" s="655">
        <f t="shared" ca="1" si="27"/>
        <v>-2250</v>
      </c>
      <c r="Q233" s="667">
        <f t="shared" ca="1" si="23"/>
        <v>1</v>
      </c>
      <c r="R233" s="669" t="s">
        <v>403</v>
      </c>
    </row>
    <row r="234" spans="2:18" ht="39.950000000000003" customHeight="1" x14ac:dyDescent="0.25">
      <c r="B234" s="661">
        <v>39902</v>
      </c>
      <c r="C234" s="662" t="s">
        <v>2351</v>
      </c>
      <c r="D234" s="669" t="s">
        <v>400</v>
      </c>
      <c r="E234" s="651" t="s">
        <v>412</v>
      </c>
      <c r="F234" s="663" t="s">
        <v>410</v>
      </c>
      <c r="G234" s="651" t="s">
        <v>28</v>
      </c>
      <c r="H234" s="651" t="s">
        <v>395</v>
      </c>
      <c r="I234" s="651" t="s">
        <v>396</v>
      </c>
      <c r="J234" s="664">
        <v>1125</v>
      </c>
      <c r="K234" s="672">
        <v>35.770000000000003</v>
      </c>
      <c r="L234" s="655">
        <f t="shared" si="24"/>
        <v>31.450936538999159</v>
      </c>
      <c r="M234" s="666">
        <v>60</v>
      </c>
      <c r="N234" s="667">
        <f t="shared" si="25"/>
        <v>18.75</v>
      </c>
      <c r="O234" s="668">
        <f t="shared" ca="1" si="26"/>
        <v>180</v>
      </c>
      <c r="P234" s="655">
        <f t="shared" ca="1" si="27"/>
        <v>-2250</v>
      </c>
      <c r="Q234" s="667">
        <f t="shared" ca="1" si="23"/>
        <v>1</v>
      </c>
      <c r="R234" s="669" t="s">
        <v>403</v>
      </c>
    </row>
    <row r="235" spans="2:18" ht="39.950000000000003" customHeight="1" x14ac:dyDescent="0.25">
      <c r="B235" s="661">
        <v>39902</v>
      </c>
      <c r="C235" s="662" t="s">
        <v>2351</v>
      </c>
      <c r="D235" s="669" t="s">
        <v>400</v>
      </c>
      <c r="E235" s="651" t="s">
        <v>413</v>
      </c>
      <c r="F235" s="663" t="s">
        <v>410</v>
      </c>
      <c r="G235" s="651" t="s">
        <v>28</v>
      </c>
      <c r="H235" s="651" t="s">
        <v>395</v>
      </c>
      <c r="I235" s="651" t="s">
        <v>396</v>
      </c>
      <c r="J235" s="664">
        <v>1125</v>
      </c>
      <c r="K235" s="672">
        <v>35.770000000000003</v>
      </c>
      <c r="L235" s="655">
        <f t="shared" si="24"/>
        <v>31.450936538999159</v>
      </c>
      <c r="M235" s="666">
        <v>60</v>
      </c>
      <c r="N235" s="667">
        <f t="shared" si="25"/>
        <v>18.75</v>
      </c>
      <c r="O235" s="668">
        <f t="shared" ca="1" si="26"/>
        <v>180</v>
      </c>
      <c r="P235" s="655">
        <f t="shared" ca="1" si="27"/>
        <v>-2250</v>
      </c>
      <c r="Q235" s="667">
        <f t="shared" ca="1" si="23"/>
        <v>1</v>
      </c>
      <c r="R235" s="669" t="s">
        <v>403</v>
      </c>
    </row>
    <row r="236" spans="2:18" ht="39.950000000000003" customHeight="1" x14ac:dyDescent="0.25">
      <c r="B236" s="661">
        <v>39902</v>
      </c>
      <c r="C236" s="662" t="s">
        <v>2351</v>
      </c>
      <c r="D236" s="669" t="s">
        <v>400</v>
      </c>
      <c r="E236" s="651" t="s">
        <v>414</v>
      </c>
      <c r="F236" s="663" t="s">
        <v>410</v>
      </c>
      <c r="G236" s="651" t="s">
        <v>28</v>
      </c>
      <c r="H236" s="651" t="s">
        <v>395</v>
      </c>
      <c r="I236" s="651" t="s">
        <v>396</v>
      </c>
      <c r="J236" s="664">
        <v>1125</v>
      </c>
      <c r="K236" s="672">
        <v>35.770000000000003</v>
      </c>
      <c r="L236" s="655">
        <f t="shared" si="24"/>
        <v>31.450936538999159</v>
      </c>
      <c r="M236" s="666">
        <v>60</v>
      </c>
      <c r="N236" s="667">
        <f t="shared" si="25"/>
        <v>18.75</v>
      </c>
      <c r="O236" s="668">
        <f t="shared" ca="1" si="26"/>
        <v>180</v>
      </c>
      <c r="P236" s="655">
        <f t="shared" ca="1" si="27"/>
        <v>-2250</v>
      </c>
      <c r="Q236" s="667">
        <f t="shared" ca="1" si="23"/>
        <v>1</v>
      </c>
      <c r="R236" s="669" t="s">
        <v>403</v>
      </c>
    </row>
    <row r="237" spans="2:18" ht="39.950000000000003" customHeight="1" x14ac:dyDescent="0.25">
      <c r="B237" s="661">
        <v>39902</v>
      </c>
      <c r="C237" s="662" t="s">
        <v>2351</v>
      </c>
      <c r="D237" s="669" t="s">
        <v>400</v>
      </c>
      <c r="E237" s="651" t="s">
        <v>415</v>
      </c>
      <c r="F237" s="663" t="s">
        <v>410</v>
      </c>
      <c r="G237" s="651" t="s">
        <v>28</v>
      </c>
      <c r="H237" s="651" t="s">
        <v>395</v>
      </c>
      <c r="I237" s="651" t="s">
        <v>396</v>
      </c>
      <c r="J237" s="664">
        <v>1125</v>
      </c>
      <c r="K237" s="672">
        <v>35.770000000000003</v>
      </c>
      <c r="L237" s="655">
        <f t="shared" si="24"/>
        <v>31.450936538999159</v>
      </c>
      <c r="M237" s="666">
        <v>60</v>
      </c>
      <c r="N237" s="667">
        <f t="shared" si="25"/>
        <v>18.75</v>
      </c>
      <c r="O237" s="668">
        <f t="shared" ca="1" si="26"/>
        <v>180</v>
      </c>
      <c r="P237" s="655">
        <f t="shared" ca="1" si="27"/>
        <v>-2250</v>
      </c>
      <c r="Q237" s="667">
        <f t="shared" ca="1" si="23"/>
        <v>1</v>
      </c>
      <c r="R237" s="669" t="s">
        <v>403</v>
      </c>
    </row>
    <row r="238" spans="2:18" ht="39.950000000000003" customHeight="1" x14ac:dyDescent="0.25">
      <c r="B238" s="661">
        <v>39902</v>
      </c>
      <c r="C238" s="662" t="s">
        <v>2351</v>
      </c>
      <c r="D238" s="669" t="s">
        <v>400</v>
      </c>
      <c r="E238" s="651" t="s">
        <v>416</v>
      </c>
      <c r="F238" s="663" t="s">
        <v>410</v>
      </c>
      <c r="G238" s="651" t="s">
        <v>28</v>
      </c>
      <c r="H238" s="651" t="s">
        <v>395</v>
      </c>
      <c r="I238" s="651" t="s">
        <v>396</v>
      </c>
      <c r="J238" s="664">
        <v>1125</v>
      </c>
      <c r="K238" s="672">
        <v>35.770000000000003</v>
      </c>
      <c r="L238" s="655">
        <f t="shared" si="24"/>
        <v>31.450936538999159</v>
      </c>
      <c r="M238" s="666">
        <v>60</v>
      </c>
      <c r="N238" s="667">
        <f t="shared" si="25"/>
        <v>18.75</v>
      </c>
      <c r="O238" s="668">
        <f t="shared" ca="1" si="26"/>
        <v>180</v>
      </c>
      <c r="P238" s="655">
        <f t="shared" ca="1" si="27"/>
        <v>-2250</v>
      </c>
      <c r="Q238" s="667">
        <f t="shared" ca="1" si="23"/>
        <v>1</v>
      </c>
      <c r="R238" s="669" t="s">
        <v>403</v>
      </c>
    </row>
    <row r="239" spans="2:18" ht="39.950000000000003" customHeight="1" x14ac:dyDescent="0.25">
      <c r="B239" s="661">
        <v>39902</v>
      </c>
      <c r="C239" s="662" t="s">
        <v>2351</v>
      </c>
      <c r="D239" s="669" t="s">
        <v>400</v>
      </c>
      <c r="E239" s="651" t="s">
        <v>417</v>
      </c>
      <c r="F239" s="663" t="s">
        <v>410</v>
      </c>
      <c r="G239" s="651" t="s">
        <v>28</v>
      </c>
      <c r="H239" s="651" t="s">
        <v>395</v>
      </c>
      <c r="I239" s="651" t="s">
        <v>396</v>
      </c>
      <c r="J239" s="664">
        <v>1125</v>
      </c>
      <c r="K239" s="672">
        <v>35.770000000000003</v>
      </c>
      <c r="L239" s="655">
        <f t="shared" si="24"/>
        <v>31.450936538999159</v>
      </c>
      <c r="M239" s="666">
        <v>60</v>
      </c>
      <c r="N239" s="667">
        <f t="shared" si="25"/>
        <v>18.75</v>
      </c>
      <c r="O239" s="668">
        <f t="shared" ca="1" si="26"/>
        <v>180</v>
      </c>
      <c r="P239" s="655">
        <f t="shared" ca="1" si="27"/>
        <v>-2250</v>
      </c>
      <c r="Q239" s="667">
        <f t="shared" ca="1" si="23"/>
        <v>1</v>
      </c>
      <c r="R239" s="669" t="s">
        <v>403</v>
      </c>
    </row>
    <row r="240" spans="2:18" ht="39.950000000000003" customHeight="1" x14ac:dyDescent="0.25">
      <c r="B240" s="661">
        <v>39902</v>
      </c>
      <c r="C240" s="662" t="s">
        <v>2351</v>
      </c>
      <c r="D240" s="669" t="s">
        <v>400</v>
      </c>
      <c r="E240" s="651" t="s">
        <v>418</v>
      </c>
      <c r="F240" s="663" t="s">
        <v>410</v>
      </c>
      <c r="G240" s="651" t="s">
        <v>28</v>
      </c>
      <c r="H240" s="651" t="s">
        <v>395</v>
      </c>
      <c r="I240" s="651" t="s">
        <v>396</v>
      </c>
      <c r="J240" s="664">
        <v>1125</v>
      </c>
      <c r="K240" s="672">
        <v>35.770000000000003</v>
      </c>
      <c r="L240" s="655">
        <f t="shared" si="24"/>
        <v>31.450936538999159</v>
      </c>
      <c r="M240" s="666">
        <v>60</v>
      </c>
      <c r="N240" s="667">
        <f t="shared" si="25"/>
        <v>18.75</v>
      </c>
      <c r="O240" s="668">
        <f t="shared" ca="1" si="26"/>
        <v>180</v>
      </c>
      <c r="P240" s="655">
        <f t="shared" ca="1" si="27"/>
        <v>-2250</v>
      </c>
      <c r="Q240" s="667">
        <f t="shared" ca="1" si="23"/>
        <v>1</v>
      </c>
      <c r="R240" s="669" t="s">
        <v>403</v>
      </c>
    </row>
    <row r="241" spans="2:18" ht="39.950000000000003" customHeight="1" x14ac:dyDescent="0.25">
      <c r="B241" s="661">
        <v>39902</v>
      </c>
      <c r="C241" s="662" t="s">
        <v>2351</v>
      </c>
      <c r="D241" s="669" t="s">
        <v>400</v>
      </c>
      <c r="E241" s="651" t="s">
        <v>419</v>
      </c>
      <c r="F241" s="663" t="s">
        <v>410</v>
      </c>
      <c r="G241" s="651" t="s">
        <v>28</v>
      </c>
      <c r="H241" s="651" t="s">
        <v>395</v>
      </c>
      <c r="I241" s="651" t="s">
        <v>396</v>
      </c>
      <c r="J241" s="664">
        <v>1125</v>
      </c>
      <c r="K241" s="672">
        <v>35.770000000000003</v>
      </c>
      <c r="L241" s="655">
        <f t="shared" si="24"/>
        <v>31.450936538999159</v>
      </c>
      <c r="M241" s="666">
        <v>60</v>
      </c>
      <c r="N241" s="667">
        <f t="shared" si="25"/>
        <v>18.75</v>
      </c>
      <c r="O241" s="668">
        <f t="shared" ca="1" si="26"/>
        <v>180</v>
      </c>
      <c r="P241" s="655">
        <f t="shared" ca="1" si="27"/>
        <v>-2250</v>
      </c>
      <c r="Q241" s="667">
        <f t="shared" ca="1" si="23"/>
        <v>1</v>
      </c>
      <c r="R241" s="669" t="s">
        <v>403</v>
      </c>
    </row>
    <row r="242" spans="2:18" ht="39.950000000000003" customHeight="1" x14ac:dyDescent="0.25">
      <c r="B242" s="661">
        <v>39902</v>
      </c>
      <c r="C242" s="662" t="s">
        <v>2351</v>
      </c>
      <c r="D242" s="669" t="s">
        <v>400</v>
      </c>
      <c r="E242" s="651" t="s">
        <v>420</v>
      </c>
      <c r="F242" s="663" t="s">
        <v>410</v>
      </c>
      <c r="G242" s="651" t="s">
        <v>28</v>
      </c>
      <c r="H242" s="651" t="s">
        <v>395</v>
      </c>
      <c r="I242" s="651" t="s">
        <v>396</v>
      </c>
      <c r="J242" s="664">
        <v>1125</v>
      </c>
      <c r="K242" s="672">
        <v>35.770000000000003</v>
      </c>
      <c r="L242" s="655">
        <f t="shared" si="24"/>
        <v>31.450936538999159</v>
      </c>
      <c r="M242" s="666">
        <v>60</v>
      </c>
      <c r="N242" s="667">
        <f t="shared" si="25"/>
        <v>18.75</v>
      </c>
      <c r="O242" s="668">
        <f t="shared" ca="1" si="26"/>
        <v>180</v>
      </c>
      <c r="P242" s="655">
        <f t="shared" ca="1" si="27"/>
        <v>-2250</v>
      </c>
      <c r="Q242" s="667">
        <f t="shared" ca="1" si="23"/>
        <v>1</v>
      </c>
      <c r="R242" s="669" t="s">
        <v>403</v>
      </c>
    </row>
    <row r="243" spans="2:18" ht="39.950000000000003" customHeight="1" x14ac:dyDescent="0.25">
      <c r="B243" s="661">
        <v>39902</v>
      </c>
      <c r="C243" s="662" t="s">
        <v>2351</v>
      </c>
      <c r="D243" s="669" t="s">
        <v>400</v>
      </c>
      <c r="E243" s="651" t="s">
        <v>421</v>
      </c>
      <c r="F243" s="663" t="s">
        <v>410</v>
      </c>
      <c r="G243" s="651" t="s">
        <v>28</v>
      </c>
      <c r="H243" s="651" t="s">
        <v>395</v>
      </c>
      <c r="I243" s="651" t="s">
        <v>396</v>
      </c>
      <c r="J243" s="664">
        <v>1125</v>
      </c>
      <c r="K243" s="672">
        <v>35.770000000000003</v>
      </c>
      <c r="L243" s="655">
        <f t="shared" si="24"/>
        <v>31.450936538999159</v>
      </c>
      <c r="M243" s="666">
        <v>60</v>
      </c>
      <c r="N243" s="667">
        <f t="shared" si="25"/>
        <v>18.75</v>
      </c>
      <c r="O243" s="668">
        <f t="shared" ca="1" si="26"/>
        <v>180</v>
      </c>
      <c r="P243" s="655">
        <f t="shared" ca="1" si="27"/>
        <v>-2250</v>
      </c>
      <c r="Q243" s="667">
        <f t="shared" ca="1" si="23"/>
        <v>1</v>
      </c>
      <c r="R243" s="669" t="s">
        <v>403</v>
      </c>
    </row>
    <row r="244" spans="2:18" ht="39.950000000000003" customHeight="1" x14ac:dyDescent="0.25">
      <c r="B244" s="661">
        <v>39902</v>
      </c>
      <c r="C244" s="662" t="s">
        <v>2351</v>
      </c>
      <c r="D244" s="669" t="s">
        <v>400</v>
      </c>
      <c r="E244" s="651" t="s">
        <v>422</v>
      </c>
      <c r="F244" s="663" t="s">
        <v>410</v>
      </c>
      <c r="G244" s="651" t="s">
        <v>28</v>
      </c>
      <c r="H244" s="651" t="s">
        <v>395</v>
      </c>
      <c r="I244" s="651" t="s">
        <v>396</v>
      </c>
      <c r="J244" s="664">
        <v>1125</v>
      </c>
      <c r="K244" s="672">
        <v>35.770000000000003</v>
      </c>
      <c r="L244" s="655">
        <f t="shared" si="24"/>
        <v>31.450936538999159</v>
      </c>
      <c r="M244" s="666">
        <v>60</v>
      </c>
      <c r="N244" s="667">
        <f t="shared" si="25"/>
        <v>18.75</v>
      </c>
      <c r="O244" s="668">
        <f t="shared" ca="1" si="26"/>
        <v>180</v>
      </c>
      <c r="P244" s="655">
        <f t="shared" ca="1" si="27"/>
        <v>-2250</v>
      </c>
      <c r="Q244" s="667">
        <f t="shared" ca="1" si="23"/>
        <v>1</v>
      </c>
      <c r="R244" s="669" t="s">
        <v>403</v>
      </c>
    </row>
    <row r="245" spans="2:18" ht="39.950000000000003" customHeight="1" x14ac:dyDescent="0.25">
      <c r="B245" s="661">
        <v>39902</v>
      </c>
      <c r="C245" s="662" t="s">
        <v>2351</v>
      </c>
      <c r="D245" s="669" t="s">
        <v>400</v>
      </c>
      <c r="E245" s="651" t="s">
        <v>423</v>
      </c>
      <c r="F245" s="663" t="s">
        <v>424</v>
      </c>
      <c r="G245" s="651" t="s">
        <v>28</v>
      </c>
      <c r="H245" s="651" t="s">
        <v>395</v>
      </c>
      <c r="I245" s="651" t="s">
        <v>396</v>
      </c>
      <c r="J245" s="664">
        <v>2975</v>
      </c>
      <c r="K245" s="672">
        <v>35.770000000000003</v>
      </c>
      <c r="L245" s="655">
        <f t="shared" si="24"/>
        <v>83.170254403131111</v>
      </c>
      <c r="M245" s="666">
        <v>60</v>
      </c>
      <c r="N245" s="667">
        <f t="shared" si="25"/>
        <v>49.583333333333336</v>
      </c>
      <c r="O245" s="668">
        <f t="shared" ca="1" si="26"/>
        <v>180</v>
      </c>
      <c r="P245" s="655">
        <f t="shared" ca="1" si="27"/>
        <v>-5950</v>
      </c>
      <c r="Q245" s="667">
        <f t="shared" ca="1" si="23"/>
        <v>1</v>
      </c>
      <c r="R245" s="669" t="s">
        <v>403</v>
      </c>
    </row>
    <row r="246" spans="2:18" ht="39.950000000000003" customHeight="1" x14ac:dyDescent="0.25">
      <c r="B246" s="661">
        <v>39902</v>
      </c>
      <c r="C246" s="662" t="s">
        <v>2351</v>
      </c>
      <c r="D246" s="669" t="s">
        <v>425</v>
      </c>
      <c r="E246" s="651" t="s">
        <v>426</v>
      </c>
      <c r="F246" s="663" t="s">
        <v>427</v>
      </c>
      <c r="G246" s="651" t="s">
        <v>28</v>
      </c>
      <c r="H246" s="651" t="s">
        <v>395</v>
      </c>
      <c r="I246" s="651" t="s">
        <v>396</v>
      </c>
      <c r="J246" s="664">
        <v>9478.2199999999993</v>
      </c>
      <c r="K246" s="672">
        <v>35.770000000000003</v>
      </c>
      <c r="L246" s="655">
        <f t="shared" si="24"/>
        <v>264.97679619793121</v>
      </c>
      <c r="M246" s="666">
        <v>60</v>
      </c>
      <c r="N246" s="667">
        <f t="shared" si="25"/>
        <v>157.97033333333331</v>
      </c>
      <c r="O246" s="668">
        <f t="shared" ca="1" si="26"/>
        <v>180</v>
      </c>
      <c r="P246" s="655">
        <f t="shared" ca="1" si="27"/>
        <v>-18956.439999999995</v>
      </c>
      <c r="Q246" s="667">
        <f t="shared" ca="1" si="23"/>
        <v>1</v>
      </c>
      <c r="R246" s="669" t="s">
        <v>403</v>
      </c>
    </row>
    <row r="247" spans="2:18" ht="39.950000000000003" customHeight="1" x14ac:dyDescent="0.25">
      <c r="B247" s="661">
        <v>39902</v>
      </c>
      <c r="C247" s="662" t="s">
        <v>2351</v>
      </c>
      <c r="D247" s="669" t="s">
        <v>425</v>
      </c>
      <c r="E247" s="651" t="s">
        <v>428</v>
      </c>
      <c r="F247" s="663" t="s">
        <v>427</v>
      </c>
      <c r="G247" s="651" t="s">
        <v>28</v>
      </c>
      <c r="H247" s="651" t="s">
        <v>395</v>
      </c>
      <c r="I247" s="651" t="s">
        <v>396</v>
      </c>
      <c r="J247" s="664">
        <v>9478.2199999999993</v>
      </c>
      <c r="K247" s="672">
        <v>35.770000000000003</v>
      </c>
      <c r="L247" s="655">
        <f t="shared" si="24"/>
        <v>264.97679619793121</v>
      </c>
      <c r="M247" s="666">
        <v>60</v>
      </c>
      <c r="N247" s="667">
        <f t="shared" si="25"/>
        <v>157.97033333333331</v>
      </c>
      <c r="O247" s="668">
        <f t="shared" ca="1" si="26"/>
        <v>180</v>
      </c>
      <c r="P247" s="655">
        <f t="shared" ca="1" si="27"/>
        <v>-18956.439999999995</v>
      </c>
      <c r="Q247" s="667">
        <f t="shared" ca="1" si="23"/>
        <v>1</v>
      </c>
      <c r="R247" s="669" t="s">
        <v>429</v>
      </c>
    </row>
    <row r="248" spans="2:18" ht="39.950000000000003" customHeight="1" x14ac:dyDescent="0.25">
      <c r="B248" s="661">
        <v>39902</v>
      </c>
      <c r="C248" s="662" t="s">
        <v>2351</v>
      </c>
      <c r="D248" s="669" t="s">
        <v>425</v>
      </c>
      <c r="E248" s="651" t="s">
        <v>430</v>
      </c>
      <c r="F248" s="663" t="s">
        <v>431</v>
      </c>
      <c r="G248" s="651" t="s">
        <v>28</v>
      </c>
      <c r="H248" s="651" t="s">
        <v>395</v>
      </c>
      <c r="I248" s="651" t="s">
        <v>396</v>
      </c>
      <c r="J248" s="664">
        <v>1127.75</v>
      </c>
      <c r="K248" s="672">
        <v>35.770000000000003</v>
      </c>
      <c r="L248" s="655">
        <f t="shared" si="24"/>
        <v>31.52781660609449</v>
      </c>
      <c r="M248" s="666">
        <v>60</v>
      </c>
      <c r="N248" s="667">
        <f t="shared" si="25"/>
        <v>18.795833333333334</v>
      </c>
      <c r="O248" s="668">
        <f t="shared" ca="1" si="26"/>
        <v>180</v>
      </c>
      <c r="P248" s="655">
        <f t="shared" ca="1" si="27"/>
        <v>-2255.5</v>
      </c>
      <c r="Q248" s="667">
        <f t="shared" ca="1" si="23"/>
        <v>1</v>
      </c>
      <c r="R248" s="669" t="s">
        <v>429</v>
      </c>
    </row>
    <row r="249" spans="2:18" ht="39.950000000000003" customHeight="1" x14ac:dyDescent="0.25">
      <c r="B249" s="661">
        <v>39902</v>
      </c>
      <c r="C249" s="662" t="s">
        <v>2351</v>
      </c>
      <c r="D249" s="669" t="s">
        <v>425</v>
      </c>
      <c r="E249" s="651" t="s">
        <v>432</v>
      </c>
      <c r="F249" s="663" t="s">
        <v>433</v>
      </c>
      <c r="G249" s="651" t="s">
        <v>28</v>
      </c>
      <c r="H249" s="651" t="s">
        <v>395</v>
      </c>
      <c r="I249" s="651" t="s">
        <v>396</v>
      </c>
      <c r="J249" s="664">
        <v>5472.5</v>
      </c>
      <c r="K249" s="672">
        <v>35.770000000000003</v>
      </c>
      <c r="L249" s="655">
        <f t="shared" si="24"/>
        <v>152.99133351970923</v>
      </c>
      <c r="M249" s="666">
        <v>60</v>
      </c>
      <c r="N249" s="667">
        <f t="shared" si="25"/>
        <v>91.208333333333329</v>
      </c>
      <c r="O249" s="668">
        <f t="shared" ca="1" si="26"/>
        <v>180</v>
      </c>
      <c r="P249" s="655">
        <f t="shared" ca="1" si="27"/>
        <v>-10945</v>
      </c>
      <c r="Q249" s="667">
        <f t="shared" ca="1" si="23"/>
        <v>1</v>
      </c>
      <c r="R249" s="669" t="s">
        <v>429</v>
      </c>
    </row>
    <row r="250" spans="2:18" ht="48" customHeight="1" x14ac:dyDescent="0.25">
      <c r="B250" s="661">
        <v>39925</v>
      </c>
      <c r="C250" s="662" t="s">
        <v>2351</v>
      </c>
      <c r="D250" s="669" t="s">
        <v>434</v>
      </c>
      <c r="E250" s="651" t="s">
        <v>435</v>
      </c>
      <c r="F250" s="663" t="s">
        <v>436</v>
      </c>
      <c r="G250" s="651" t="s">
        <v>28</v>
      </c>
      <c r="H250" s="651" t="s">
        <v>23</v>
      </c>
      <c r="I250" s="651" t="s">
        <v>54</v>
      </c>
      <c r="J250" s="664">
        <v>10509.67</v>
      </c>
      <c r="K250" s="665">
        <v>35.9</v>
      </c>
      <c r="L250" s="655">
        <f t="shared" si="24"/>
        <v>292.74846796657386</v>
      </c>
      <c r="M250" s="666">
        <v>60</v>
      </c>
      <c r="N250" s="667">
        <f t="shared" si="25"/>
        <v>175.16116666666667</v>
      </c>
      <c r="O250" s="668">
        <f t="shared" ca="1" si="26"/>
        <v>179</v>
      </c>
      <c r="P250" s="655">
        <f t="shared" ca="1" si="27"/>
        <v>-20844.178833333332</v>
      </c>
      <c r="Q250" s="667">
        <f t="shared" ca="1" si="23"/>
        <v>1</v>
      </c>
      <c r="R250" s="669" t="s">
        <v>403</v>
      </c>
    </row>
    <row r="251" spans="2:18" ht="65.25" customHeight="1" x14ac:dyDescent="0.25">
      <c r="B251" s="661">
        <v>39925</v>
      </c>
      <c r="C251" s="662" t="s">
        <v>2351</v>
      </c>
      <c r="D251" s="669" t="s">
        <v>434</v>
      </c>
      <c r="E251" s="651" t="s">
        <v>437</v>
      </c>
      <c r="F251" s="663" t="s">
        <v>438</v>
      </c>
      <c r="G251" s="651" t="s">
        <v>28</v>
      </c>
      <c r="H251" s="651" t="s">
        <v>23</v>
      </c>
      <c r="I251" s="651" t="s">
        <v>54</v>
      </c>
      <c r="J251" s="664">
        <v>10900</v>
      </c>
      <c r="K251" s="665">
        <v>35.9</v>
      </c>
      <c r="L251" s="655">
        <f t="shared" si="24"/>
        <v>303.62116991643455</v>
      </c>
      <c r="M251" s="666">
        <v>60</v>
      </c>
      <c r="N251" s="667">
        <f t="shared" si="25"/>
        <v>181.66666666666666</v>
      </c>
      <c r="O251" s="668">
        <f t="shared" ca="1" si="26"/>
        <v>179</v>
      </c>
      <c r="P251" s="655">
        <f t="shared" ca="1" si="27"/>
        <v>-21618.333333333332</v>
      </c>
      <c r="Q251" s="667">
        <f t="shared" ca="1" si="23"/>
        <v>1</v>
      </c>
      <c r="R251" s="669" t="s">
        <v>403</v>
      </c>
    </row>
    <row r="252" spans="2:18" ht="39.950000000000003" customHeight="1" x14ac:dyDescent="0.25">
      <c r="B252" s="661">
        <v>39933</v>
      </c>
      <c r="C252" s="662" t="s">
        <v>2351</v>
      </c>
      <c r="D252" s="669" t="s">
        <v>440</v>
      </c>
      <c r="E252" s="651" t="s">
        <v>441</v>
      </c>
      <c r="F252" s="663" t="s">
        <v>442</v>
      </c>
      <c r="G252" s="651" t="s">
        <v>28</v>
      </c>
      <c r="H252" s="651" t="s">
        <v>23</v>
      </c>
      <c r="I252" s="651" t="s">
        <v>443</v>
      </c>
      <c r="J252" s="664">
        <v>3998</v>
      </c>
      <c r="K252" s="665">
        <v>35.9</v>
      </c>
      <c r="L252" s="655">
        <f t="shared" si="24"/>
        <v>111.36490250696379</v>
      </c>
      <c r="M252" s="666">
        <v>60</v>
      </c>
      <c r="N252" s="667">
        <f t="shared" si="25"/>
        <v>66.63333333333334</v>
      </c>
      <c r="O252" s="668">
        <f t="shared" ca="1" si="26"/>
        <v>179</v>
      </c>
      <c r="P252" s="655">
        <f t="shared" ca="1" si="27"/>
        <v>-7929.3666666666686</v>
      </c>
      <c r="Q252" s="667">
        <f t="shared" ca="1" si="23"/>
        <v>1</v>
      </c>
      <c r="R252" s="669" t="s">
        <v>444</v>
      </c>
    </row>
    <row r="253" spans="2:18" ht="39.950000000000003" customHeight="1" x14ac:dyDescent="0.25">
      <c r="B253" s="661">
        <v>39933</v>
      </c>
      <c r="C253" s="662" t="s">
        <v>2351</v>
      </c>
      <c r="D253" s="669" t="s">
        <v>440</v>
      </c>
      <c r="E253" s="651" t="s">
        <v>445</v>
      </c>
      <c r="F253" s="663" t="s">
        <v>442</v>
      </c>
      <c r="G253" s="651" t="s">
        <v>28</v>
      </c>
      <c r="H253" s="651" t="s">
        <v>23</v>
      </c>
      <c r="I253" s="651" t="s">
        <v>443</v>
      </c>
      <c r="J253" s="664">
        <v>3998</v>
      </c>
      <c r="K253" s="665">
        <v>35.9</v>
      </c>
      <c r="L253" s="655">
        <f t="shared" si="24"/>
        <v>111.36490250696379</v>
      </c>
      <c r="M253" s="666">
        <v>60</v>
      </c>
      <c r="N253" s="667">
        <f t="shared" si="25"/>
        <v>66.63333333333334</v>
      </c>
      <c r="O253" s="668">
        <f t="shared" ca="1" si="26"/>
        <v>179</v>
      </c>
      <c r="P253" s="655">
        <f t="shared" ca="1" si="27"/>
        <v>-7929.3666666666686</v>
      </c>
      <c r="Q253" s="667">
        <f t="shared" ca="1" si="23"/>
        <v>1</v>
      </c>
      <c r="R253" s="669" t="s">
        <v>444</v>
      </c>
    </row>
    <row r="254" spans="2:18" ht="46.5" customHeight="1" x14ac:dyDescent="0.25">
      <c r="B254" s="661">
        <v>39960</v>
      </c>
      <c r="C254" s="662" t="s">
        <v>2351</v>
      </c>
      <c r="D254" s="669" t="s">
        <v>447</v>
      </c>
      <c r="E254" s="651" t="s">
        <v>448</v>
      </c>
      <c r="F254" s="663" t="s">
        <v>449</v>
      </c>
      <c r="G254" s="651" t="s">
        <v>450</v>
      </c>
      <c r="H254" s="651" t="s">
        <v>23</v>
      </c>
      <c r="I254" s="651" t="s">
        <v>54</v>
      </c>
      <c r="J254" s="664">
        <v>24694.39</v>
      </c>
      <c r="K254" s="665">
        <v>35.65</v>
      </c>
      <c r="L254" s="655">
        <f t="shared" ref="L254:L283" si="28">+J254/K254</f>
        <v>692.6897615708275</v>
      </c>
      <c r="M254" s="666">
        <v>60</v>
      </c>
      <c r="N254" s="667">
        <f t="shared" ref="N254:N283" si="29">IF(AND(J254&lt;&gt;0,M254&lt;&gt;0),J254/M254,0)</f>
        <v>411.57316666666668</v>
      </c>
      <c r="O254" s="668">
        <f t="shared" ref="O254:O283" ca="1" si="30">IF(B254&lt;&gt;0,(ROUND((NOW()-B254)/30,0)),0)</f>
        <v>178</v>
      </c>
      <c r="P254" s="655">
        <f t="shared" ref="P254:P284" ca="1" si="31">IF(OR(J254=0,M254=0,O254=0),0,J254-(N254*O254))</f>
        <v>-48565.633666666676</v>
      </c>
      <c r="Q254" s="667">
        <f t="shared" ca="1" si="23"/>
        <v>1</v>
      </c>
      <c r="R254" s="669" t="s">
        <v>444</v>
      </c>
    </row>
    <row r="255" spans="2:18" ht="39.950000000000003" customHeight="1" x14ac:dyDescent="0.25">
      <c r="B255" s="661">
        <v>39960</v>
      </c>
      <c r="C255" s="662" t="s">
        <v>2351</v>
      </c>
      <c r="D255" s="669" t="s">
        <v>451</v>
      </c>
      <c r="E255" s="651" t="s">
        <v>452</v>
      </c>
      <c r="F255" s="663" t="s">
        <v>453</v>
      </c>
      <c r="G255" s="651" t="s">
        <v>28</v>
      </c>
      <c r="H255" s="651" t="s">
        <v>23</v>
      </c>
      <c r="I255" s="651" t="s">
        <v>54</v>
      </c>
      <c r="J255" s="664">
        <v>1829.8</v>
      </c>
      <c r="K255" s="665">
        <v>35.65</v>
      </c>
      <c r="L255" s="655">
        <f t="shared" si="28"/>
        <v>51.32678821879383</v>
      </c>
      <c r="M255" s="666">
        <v>60</v>
      </c>
      <c r="N255" s="667">
        <f t="shared" si="29"/>
        <v>30.496666666666666</v>
      </c>
      <c r="O255" s="668">
        <f t="shared" ca="1" si="30"/>
        <v>178</v>
      </c>
      <c r="P255" s="655">
        <f t="shared" ca="1" si="31"/>
        <v>-3598.6066666666666</v>
      </c>
      <c r="Q255" s="667">
        <f t="shared" ca="1" si="23"/>
        <v>1</v>
      </c>
      <c r="R255" s="669" t="s">
        <v>444</v>
      </c>
    </row>
    <row r="256" spans="2:18" ht="48" customHeight="1" x14ac:dyDescent="0.25">
      <c r="B256" s="661">
        <v>39960</v>
      </c>
      <c r="C256" s="662" t="s">
        <v>2351</v>
      </c>
      <c r="D256" s="669" t="s">
        <v>451</v>
      </c>
      <c r="E256" s="651" t="s">
        <v>454</v>
      </c>
      <c r="F256" s="663" t="s">
        <v>455</v>
      </c>
      <c r="G256" s="651" t="s">
        <v>28</v>
      </c>
      <c r="H256" s="651" t="s">
        <v>23</v>
      </c>
      <c r="I256" s="651" t="s">
        <v>54</v>
      </c>
      <c r="J256" s="664">
        <v>1830.1</v>
      </c>
      <c r="K256" s="665">
        <v>35.65</v>
      </c>
      <c r="L256" s="655">
        <f t="shared" si="28"/>
        <v>51.335203366058906</v>
      </c>
      <c r="M256" s="666">
        <v>60</v>
      </c>
      <c r="N256" s="667">
        <f t="shared" si="29"/>
        <v>30.501666666666665</v>
      </c>
      <c r="O256" s="668">
        <f t="shared" ca="1" si="30"/>
        <v>178</v>
      </c>
      <c r="P256" s="655">
        <f t="shared" ca="1" si="31"/>
        <v>-3599.1966666666663</v>
      </c>
      <c r="Q256" s="667">
        <f t="shared" ca="1" si="23"/>
        <v>1</v>
      </c>
      <c r="R256" s="669" t="s">
        <v>444</v>
      </c>
    </row>
    <row r="257" spans="2:19" ht="56.25" customHeight="1" x14ac:dyDescent="0.25">
      <c r="B257" s="661">
        <v>39962</v>
      </c>
      <c r="C257" s="662" t="s">
        <v>2351</v>
      </c>
      <c r="D257" s="669" t="s">
        <v>456</v>
      </c>
      <c r="E257" s="651" t="s">
        <v>457</v>
      </c>
      <c r="F257" s="663" t="s">
        <v>373</v>
      </c>
      <c r="G257" s="651" t="s">
        <v>28</v>
      </c>
      <c r="H257" s="651" t="s">
        <v>458</v>
      </c>
      <c r="I257" s="651" t="s">
        <v>459</v>
      </c>
      <c r="J257" s="664">
        <v>3596.8718639089461</v>
      </c>
      <c r="K257" s="665">
        <v>35.9</v>
      </c>
      <c r="L257" s="655">
        <f t="shared" si="28"/>
        <v>100.19141682197622</v>
      </c>
      <c r="M257" s="666">
        <v>60</v>
      </c>
      <c r="N257" s="667">
        <f t="shared" si="29"/>
        <v>59.947864398482437</v>
      </c>
      <c r="O257" s="668">
        <f t="shared" ca="1" si="30"/>
        <v>178</v>
      </c>
      <c r="P257" s="655">
        <f t="shared" ca="1" si="31"/>
        <v>-7073.8479990209289</v>
      </c>
      <c r="Q257" s="667">
        <f t="shared" ca="1" si="23"/>
        <v>1</v>
      </c>
      <c r="R257" s="669" t="s">
        <v>460</v>
      </c>
    </row>
    <row r="258" spans="2:19" ht="39.950000000000003" customHeight="1" x14ac:dyDescent="0.25">
      <c r="B258" s="661">
        <v>39962</v>
      </c>
      <c r="C258" s="662" t="s">
        <v>2351</v>
      </c>
      <c r="D258" s="669" t="s">
        <v>456</v>
      </c>
      <c r="E258" s="651" t="s">
        <v>461</v>
      </c>
      <c r="F258" s="663" t="s">
        <v>406</v>
      </c>
      <c r="G258" s="651" t="s">
        <v>28</v>
      </c>
      <c r="H258" s="651" t="s">
        <v>458</v>
      </c>
      <c r="I258" s="651" t="s">
        <v>459</v>
      </c>
      <c r="J258" s="664">
        <v>5417.5107086035978</v>
      </c>
      <c r="K258" s="665">
        <v>35.9</v>
      </c>
      <c r="L258" s="655">
        <f t="shared" si="28"/>
        <v>150.90559076890244</v>
      </c>
      <c r="M258" s="666">
        <v>60</v>
      </c>
      <c r="N258" s="667">
        <f t="shared" si="29"/>
        <v>90.291845143393303</v>
      </c>
      <c r="O258" s="668">
        <f t="shared" ca="1" si="30"/>
        <v>178</v>
      </c>
      <c r="P258" s="655">
        <f t="shared" ca="1" si="31"/>
        <v>-10654.437726920409</v>
      </c>
      <c r="Q258" s="667">
        <f t="shared" ca="1" si="23"/>
        <v>1</v>
      </c>
      <c r="R258" s="669" t="s">
        <v>460</v>
      </c>
    </row>
    <row r="259" spans="2:19" ht="39.950000000000003" customHeight="1" x14ac:dyDescent="0.25">
      <c r="B259" s="661">
        <v>39962</v>
      </c>
      <c r="C259" s="662" t="s">
        <v>2351</v>
      </c>
      <c r="D259" s="669" t="s">
        <v>456</v>
      </c>
      <c r="E259" s="651" t="s">
        <v>462</v>
      </c>
      <c r="F259" s="663" t="s">
        <v>410</v>
      </c>
      <c r="G259" s="651" t="s">
        <v>28</v>
      </c>
      <c r="H259" s="651" t="s">
        <v>4409</v>
      </c>
      <c r="I259" s="651" t="s">
        <v>459</v>
      </c>
      <c r="J259" s="664">
        <v>932.52233508750498</v>
      </c>
      <c r="K259" s="665">
        <v>35.9</v>
      </c>
      <c r="L259" s="655">
        <f t="shared" si="28"/>
        <v>25.975552509401254</v>
      </c>
      <c r="M259" s="666">
        <v>60</v>
      </c>
      <c r="N259" s="667">
        <f t="shared" si="29"/>
        <v>15.542038918125083</v>
      </c>
      <c r="O259" s="668">
        <f t="shared" ca="1" si="30"/>
        <v>178</v>
      </c>
      <c r="P259" s="655">
        <f t="shared" ca="1" si="31"/>
        <v>-1833.9605923387599</v>
      </c>
      <c r="Q259" s="667">
        <f t="shared" ca="1" si="23"/>
        <v>1</v>
      </c>
      <c r="R259" s="669" t="s">
        <v>460</v>
      </c>
    </row>
    <row r="260" spans="2:19" ht="48" customHeight="1" x14ac:dyDescent="0.25">
      <c r="B260" s="661">
        <v>39962</v>
      </c>
      <c r="C260" s="662" t="s">
        <v>2351</v>
      </c>
      <c r="D260" s="669" t="s">
        <v>456</v>
      </c>
      <c r="E260" s="651" t="s">
        <v>463</v>
      </c>
      <c r="F260" s="663" t="s">
        <v>410</v>
      </c>
      <c r="G260" s="651" t="s">
        <v>28</v>
      </c>
      <c r="H260" s="651" t="s">
        <v>4409</v>
      </c>
      <c r="I260" s="651" t="s">
        <v>459</v>
      </c>
      <c r="J260" s="664">
        <v>932.52233508750464</v>
      </c>
      <c r="K260" s="665">
        <v>35.9</v>
      </c>
      <c r="L260" s="655">
        <f t="shared" si="28"/>
        <v>25.975552509401243</v>
      </c>
      <c r="M260" s="666">
        <v>60</v>
      </c>
      <c r="N260" s="667">
        <f t="shared" si="29"/>
        <v>15.542038918125078</v>
      </c>
      <c r="O260" s="668">
        <f t="shared" ca="1" si="30"/>
        <v>178</v>
      </c>
      <c r="P260" s="655">
        <f t="shared" ca="1" si="31"/>
        <v>-1833.9605923387592</v>
      </c>
      <c r="Q260" s="667">
        <f t="shared" ca="1" si="23"/>
        <v>1</v>
      </c>
      <c r="R260" s="669" t="s">
        <v>460</v>
      </c>
      <c r="S260" s="395"/>
    </row>
    <row r="261" spans="2:19" ht="39.950000000000003" customHeight="1" x14ac:dyDescent="0.25">
      <c r="B261" s="661">
        <v>39962</v>
      </c>
      <c r="C261" s="662" t="s">
        <v>2351</v>
      </c>
      <c r="D261" s="669" t="s">
        <v>464</v>
      </c>
      <c r="E261" s="651" t="s">
        <v>465</v>
      </c>
      <c r="F261" s="663" t="s">
        <v>466</v>
      </c>
      <c r="G261" s="651" t="s">
        <v>28</v>
      </c>
      <c r="H261" s="651" t="s">
        <v>467</v>
      </c>
      <c r="I261" s="651" t="s">
        <v>468</v>
      </c>
      <c r="J261" s="664">
        <v>5400</v>
      </c>
      <c r="K261" s="665">
        <v>35.9</v>
      </c>
      <c r="L261" s="655">
        <f t="shared" si="28"/>
        <v>150.41782729805016</v>
      </c>
      <c r="M261" s="666">
        <v>60</v>
      </c>
      <c r="N261" s="667">
        <f t="shared" si="29"/>
        <v>90</v>
      </c>
      <c r="O261" s="668">
        <f t="shared" ca="1" si="30"/>
        <v>178</v>
      </c>
      <c r="P261" s="655">
        <f t="shared" ca="1" si="31"/>
        <v>-10620</v>
      </c>
      <c r="Q261" s="667">
        <f t="shared" ca="1" si="23"/>
        <v>1</v>
      </c>
      <c r="R261" s="669" t="s">
        <v>446</v>
      </c>
      <c r="S261" s="395"/>
    </row>
    <row r="262" spans="2:19" s="395" customFormat="1" ht="39.950000000000003" customHeight="1" x14ac:dyDescent="0.25">
      <c r="B262" s="661">
        <v>39962</v>
      </c>
      <c r="C262" s="662" t="s">
        <v>2351</v>
      </c>
      <c r="D262" s="669" t="s">
        <v>456</v>
      </c>
      <c r="E262" s="651" t="s">
        <v>469</v>
      </c>
      <c r="F262" s="663" t="s">
        <v>373</v>
      </c>
      <c r="G262" s="651" t="s">
        <v>28</v>
      </c>
      <c r="H262" s="651" t="s">
        <v>467</v>
      </c>
      <c r="I262" s="651" t="s">
        <v>468</v>
      </c>
      <c r="J262" s="664">
        <v>3596.8718639089461</v>
      </c>
      <c r="K262" s="665">
        <v>35.9</v>
      </c>
      <c r="L262" s="655">
        <f t="shared" si="28"/>
        <v>100.19141682197622</v>
      </c>
      <c r="M262" s="666">
        <v>60</v>
      </c>
      <c r="N262" s="667">
        <f t="shared" si="29"/>
        <v>59.947864398482437</v>
      </c>
      <c r="O262" s="668">
        <f t="shared" ca="1" si="30"/>
        <v>178</v>
      </c>
      <c r="P262" s="655">
        <f t="shared" ca="1" si="31"/>
        <v>-7073.8479990209289</v>
      </c>
      <c r="Q262" s="667">
        <f t="shared" ca="1" si="23"/>
        <v>1</v>
      </c>
      <c r="R262" s="669" t="s">
        <v>460</v>
      </c>
    </row>
    <row r="263" spans="2:19" ht="39.950000000000003" customHeight="1" x14ac:dyDescent="0.25">
      <c r="B263" s="661">
        <v>39962</v>
      </c>
      <c r="C263" s="662" t="s">
        <v>2351</v>
      </c>
      <c r="D263" s="669" t="s">
        <v>456</v>
      </c>
      <c r="E263" s="651" t="s">
        <v>470</v>
      </c>
      <c r="F263" s="663" t="s">
        <v>406</v>
      </c>
      <c r="G263" s="651" t="s">
        <v>28</v>
      </c>
      <c r="H263" s="651" t="s">
        <v>471</v>
      </c>
      <c r="I263" s="651" t="s">
        <v>19</v>
      </c>
      <c r="J263" s="664">
        <v>5417.5107086035978</v>
      </c>
      <c r="K263" s="665">
        <v>35.9</v>
      </c>
      <c r="L263" s="655">
        <f t="shared" si="28"/>
        <v>150.90559076890244</v>
      </c>
      <c r="M263" s="666">
        <v>60</v>
      </c>
      <c r="N263" s="667">
        <f t="shared" si="29"/>
        <v>90.291845143393303</v>
      </c>
      <c r="O263" s="668">
        <f t="shared" ca="1" si="30"/>
        <v>178</v>
      </c>
      <c r="P263" s="655">
        <f t="shared" ca="1" si="31"/>
        <v>-10654.437726920409</v>
      </c>
      <c r="Q263" s="667">
        <f t="shared" ca="1" si="23"/>
        <v>1</v>
      </c>
      <c r="R263" s="669" t="s">
        <v>460</v>
      </c>
    </row>
    <row r="264" spans="2:19" ht="39.950000000000003" customHeight="1" x14ac:dyDescent="0.25">
      <c r="B264" s="661">
        <v>39962</v>
      </c>
      <c r="C264" s="662" t="s">
        <v>2351</v>
      </c>
      <c r="D264" s="669" t="s">
        <v>456</v>
      </c>
      <c r="E264" s="651" t="s">
        <v>472</v>
      </c>
      <c r="F264" s="663" t="s">
        <v>410</v>
      </c>
      <c r="G264" s="651" t="s">
        <v>28</v>
      </c>
      <c r="H264" s="651" t="s">
        <v>19</v>
      </c>
      <c r="I264" s="651" t="s">
        <v>19</v>
      </c>
      <c r="J264" s="664">
        <v>932.52233508750464</v>
      </c>
      <c r="K264" s="665">
        <v>35.9</v>
      </c>
      <c r="L264" s="655">
        <f t="shared" si="28"/>
        <v>25.975552509401243</v>
      </c>
      <c r="M264" s="666">
        <v>60</v>
      </c>
      <c r="N264" s="667">
        <f t="shared" si="29"/>
        <v>15.542038918125078</v>
      </c>
      <c r="O264" s="668">
        <f t="shared" ca="1" si="30"/>
        <v>178</v>
      </c>
      <c r="P264" s="655">
        <f t="shared" ca="1" si="31"/>
        <v>-1833.9605923387592</v>
      </c>
      <c r="Q264" s="667">
        <f t="shared" ref="Q264:Q327" ca="1" si="32">IF(P264&lt;1,1,P264)</f>
        <v>1</v>
      </c>
      <c r="R264" s="669" t="s">
        <v>460</v>
      </c>
    </row>
    <row r="265" spans="2:19" ht="39.950000000000003" customHeight="1" x14ac:dyDescent="0.25">
      <c r="B265" s="661">
        <v>39962</v>
      </c>
      <c r="C265" s="662" t="s">
        <v>2351</v>
      </c>
      <c r="D265" s="669" t="s">
        <v>456</v>
      </c>
      <c r="E265" s="651" t="s">
        <v>473</v>
      </c>
      <c r="F265" s="663" t="s">
        <v>410</v>
      </c>
      <c r="G265" s="651" t="s">
        <v>28</v>
      </c>
      <c r="H265" s="651" t="s">
        <v>19</v>
      </c>
      <c r="I265" s="651" t="s">
        <v>19</v>
      </c>
      <c r="J265" s="664">
        <v>932.52233508750464</v>
      </c>
      <c r="K265" s="665">
        <v>35.9</v>
      </c>
      <c r="L265" s="655">
        <f t="shared" si="28"/>
        <v>25.975552509401243</v>
      </c>
      <c r="M265" s="666">
        <v>60</v>
      </c>
      <c r="N265" s="667">
        <f t="shared" si="29"/>
        <v>15.542038918125078</v>
      </c>
      <c r="O265" s="668">
        <f t="shared" ca="1" si="30"/>
        <v>178</v>
      </c>
      <c r="P265" s="655">
        <f t="shared" ca="1" si="31"/>
        <v>-1833.9605923387592</v>
      </c>
      <c r="Q265" s="667">
        <f t="shared" ca="1" si="32"/>
        <v>1</v>
      </c>
      <c r="R265" s="669" t="s">
        <v>460</v>
      </c>
    </row>
    <row r="266" spans="2:19" ht="39.950000000000003" customHeight="1" x14ac:dyDescent="0.25">
      <c r="B266" s="661">
        <v>39962</v>
      </c>
      <c r="C266" s="662" t="s">
        <v>2351</v>
      </c>
      <c r="D266" s="669" t="s">
        <v>456</v>
      </c>
      <c r="E266" s="651" t="s">
        <v>474</v>
      </c>
      <c r="F266" s="663" t="s">
        <v>410</v>
      </c>
      <c r="G266" s="651" t="s">
        <v>28</v>
      </c>
      <c r="H266" s="651" t="s">
        <v>19</v>
      </c>
      <c r="I266" s="651" t="s">
        <v>19</v>
      </c>
      <c r="J266" s="664">
        <v>932.52233508750464</v>
      </c>
      <c r="K266" s="665">
        <v>35.9</v>
      </c>
      <c r="L266" s="655">
        <f t="shared" si="28"/>
        <v>25.975552509401243</v>
      </c>
      <c r="M266" s="666">
        <v>60</v>
      </c>
      <c r="N266" s="667">
        <f t="shared" si="29"/>
        <v>15.542038918125078</v>
      </c>
      <c r="O266" s="668">
        <f t="shared" ca="1" si="30"/>
        <v>178</v>
      </c>
      <c r="P266" s="655">
        <f t="shared" ca="1" si="31"/>
        <v>-1833.9605923387592</v>
      </c>
      <c r="Q266" s="667">
        <f t="shared" ca="1" si="32"/>
        <v>1</v>
      </c>
      <c r="R266" s="669" t="s">
        <v>460</v>
      </c>
    </row>
    <row r="267" spans="2:19" ht="39.950000000000003" customHeight="1" x14ac:dyDescent="0.25">
      <c r="B267" s="661">
        <v>39962</v>
      </c>
      <c r="C267" s="662" t="s">
        <v>2351</v>
      </c>
      <c r="D267" s="669" t="s">
        <v>456</v>
      </c>
      <c r="E267" s="651" t="s">
        <v>475</v>
      </c>
      <c r="F267" s="663" t="s">
        <v>410</v>
      </c>
      <c r="G267" s="651" t="s">
        <v>28</v>
      </c>
      <c r="H267" s="651" t="s">
        <v>19</v>
      </c>
      <c r="I267" s="651" t="s">
        <v>19</v>
      </c>
      <c r="J267" s="664">
        <v>932.52233508750464</v>
      </c>
      <c r="K267" s="665">
        <v>35.9</v>
      </c>
      <c r="L267" s="655">
        <f t="shared" si="28"/>
        <v>25.975552509401243</v>
      </c>
      <c r="M267" s="666">
        <v>60</v>
      </c>
      <c r="N267" s="667">
        <f t="shared" si="29"/>
        <v>15.542038918125078</v>
      </c>
      <c r="O267" s="668">
        <f t="shared" ca="1" si="30"/>
        <v>178</v>
      </c>
      <c r="P267" s="655">
        <f t="shared" ca="1" si="31"/>
        <v>-1833.9605923387592</v>
      </c>
      <c r="Q267" s="667">
        <f t="shared" ca="1" si="32"/>
        <v>1</v>
      </c>
      <c r="R267" s="669" t="s">
        <v>460</v>
      </c>
    </row>
    <row r="268" spans="2:19" ht="39.950000000000003" customHeight="1" x14ac:dyDescent="0.25">
      <c r="B268" s="661">
        <v>39962</v>
      </c>
      <c r="C268" s="662" t="s">
        <v>2351</v>
      </c>
      <c r="D268" s="669" t="s">
        <v>456</v>
      </c>
      <c r="E268" s="651" t="s">
        <v>476</v>
      </c>
      <c r="F268" s="663" t="s">
        <v>410</v>
      </c>
      <c r="G268" s="651" t="s">
        <v>28</v>
      </c>
      <c r="H268" s="651" t="s">
        <v>19</v>
      </c>
      <c r="I268" s="651" t="s">
        <v>19</v>
      </c>
      <c r="J268" s="664">
        <v>932.52233508750464</v>
      </c>
      <c r="K268" s="665">
        <v>35.9</v>
      </c>
      <c r="L268" s="655">
        <f t="shared" si="28"/>
        <v>25.975552509401243</v>
      </c>
      <c r="M268" s="666">
        <v>60</v>
      </c>
      <c r="N268" s="667">
        <f t="shared" si="29"/>
        <v>15.542038918125078</v>
      </c>
      <c r="O268" s="668">
        <f t="shared" ca="1" si="30"/>
        <v>178</v>
      </c>
      <c r="P268" s="655">
        <f t="shared" ca="1" si="31"/>
        <v>-1833.9605923387592</v>
      </c>
      <c r="Q268" s="667">
        <f t="shared" ca="1" si="32"/>
        <v>1</v>
      </c>
      <c r="R268" s="669" t="s">
        <v>460</v>
      </c>
    </row>
    <row r="269" spans="2:19" ht="39.950000000000003" customHeight="1" x14ac:dyDescent="0.25">
      <c r="B269" s="661">
        <v>39962</v>
      </c>
      <c r="C269" s="662" t="s">
        <v>2351</v>
      </c>
      <c r="D269" s="669" t="s">
        <v>464</v>
      </c>
      <c r="E269" s="651" t="s">
        <v>477</v>
      </c>
      <c r="F269" s="663" t="s">
        <v>466</v>
      </c>
      <c r="G269" s="651" t="s">
        <v>28</v>
      </c>
      <c r="H269" s="673" t="s">
        <v>478</v>
      </c>
      <c r="I269" s="651" t="s">
        <v>479</v>
      </c>
      <c r="J269" s="664">
        <v>5400</v>
      </c>
      <c r="K269" s="665">
        <v>35.9</v>
      </c>
      <c r="L269" s="655">
        <f t="shared" si="28"/>
        <v>150.41782729805016</v>
      </c>
      <c r="M269" s="666">
        <v>60</v>
      </c>
      <c r="N269" s="667">
        <f t="shared" si="29"/>
        <v>90</v>
      </c>
      <c r="O269" s="668">
        <f t="shared" ca="1" si="30"/>
        <v>178</v>
      </c>
      <c r="P269" s="655">
        <f t="shared" ca="1" si="31"/>
        <v>-10620</v>
      </c>
      <c r="Q269" s="667">
        <f t="shared" ca="1" si="32"/>
        <v>1</v>
      </c>
      <c r="R269" s="669" t="s">
        <v>460</v>
      </c>
    </row>
    <row r="270" spans="2:19" ht="39.950000000000003" customHeight="1" x14ac:dyDescent="0.25">
      <c r="B270" s="661">
        <v>39962</v>
      </c>
      <c r="C270" s="662" t="s">
        <v>2351</v>
      </c>
      <c r="D270" s="669" t="s">
        <v>456</v>
      </c>
      <c r="E270" s="651" t="s">
        <v>480</v>
      </c>
      <c r="F270" s="663" t="s">
        <v>466</v>
      </c>
      <c r="G270" s="651" t="s">
        <v>28</v>
      </c>
      <c r="H270" s="651" t="s">
        <v>481</v>
      </c>
      <c r="I270" s="651" t="s">
        <v>482</v>
      </c>
      <c r="J270" s="664">
        <v>5400</v>
      </c>
      <c r="K270" s="665">
        <v>35.9</v>
      </c>
      <c r="L270" s="655">
        <f t="shared" si="28"/>
        <v>150.41782729805016</v>
      </c>
      <c r="M270" s="666">
        <v>60</v>
      </c>
      <c r="N270" s="667">
        <f t="shared" si="29"/>
        <v>90</v>
      </c>
      <c r="O270" s="668">
        <f t="shared" ca="1" si="30"/>
        <v>178</v>
      </c>
      <c r="P270" s="655">
        <f t="shared" ca="1" si="31"/>
        <v>-10620</v>
      </c>
      <c r="Q270" s="667">
        <f t="shared" ca="1" si="32"/>
        <v>1</v>
      </c>
      <c r="R270" s="669" t="s">
        <v>460</v>
      </c>
    </row>
    <row r="271" spans="2:19" ht="39.950000000000003" customHeight="1" x14ac:dyDescent="0.25">
      <c r="B271" s="661">
        <v>39962</v>
      </c>
      <c r="C271" s="662" t="s">
        <v>2351</v>
      </c>
      <c r="D271" s="669" t="s">
        <v>456</v>
      </c>
      <c r="E271" s="651" t="s">
        <v>483</v>
      </c>
      <c r="F271" s="663" t="s">
        <v>373</v>
      </c>
      <c r="G271" s="651" t="s">
        <v>28</v>
      </c>
      <c r="H271" s="651" t="s">
        <v>481</v>
      </c>
      <c r="I271" s="651" t="s">
        <v>482</v>
      </c>
      <c r="J271" s="664">
        <v>3596.8718639089461</v>
      </c>
      <c r="K271" s="665">
        <v>35.9</v>
      </c>
      <c r="L271" s="655">
        <f t="shared" si="28"/>
        <v>100.19141682197622</v>
      </c>
      <c r="M271" s="666">
        <v>60</v>
      </c>
      <c r="N271" s="667">
        <f t="shared" si="29"/>
        <v>59.947864398482437</v>
      </c>
      <c r="O271" s="668">
        <f t="shared" ca="1" si="30"/>
        <v>178</v>
      </c>
      <c r="P271" s="655">
        <f t="shared" ca="1" si="31"/>
        <v>-7073.8479990209289</v>
      </c>
      <c r="Q271" s="667">
        <f t="shared" ca="1" si="32"/>
        <v>1</v>
      </c>
      <c r="R271" s="669" t="s">
        <v>460</v>
      </c>
    </row>
    <row r="272" spans="2:19" ht="39.950000000000003" customHeight="1" x14ac:dyDescent="0.25">
      <c r="B272" s="661">
        <v>39962</v>
      </c>
      <c r="C272" s="662" t="s">
        <v>2351</v>
      </c>
      <c r="D272" s="669" t="s">
        <v>456</v>
      </c>
      <c r="E272" s="651" t="s">
        <v>484</v>
      </c>
      <c r="F272" s="663" t="s">
        <v>406</v>
      </c>
      <c r="G272" s="651" t="s">
        <v>28</v>
      </c>
      <c r="H272" s="651" t="s">
        <v>481</v>
      </c>
      <c r="I272" s="651" t="s">
        <v>482</v>
      </c>
      <c r="J272" s="664">
        <v>5417.5107086035978</v>
      </c>
      <c r="K272" s="665">
        <v>35.9</v>
      </c>
      <c r="L272" s="655">
        <f t="shared" si="28"/>
        <v>150.90559076890244</v>
      </c>
      <c r="M272" s="666">
        <v>60</v>
      </c>
      <c r="N272" s="667">
        <f t="shared" si="29"/>
        <v>90.291845143393303</v>
      </c>
      <c r="O272" s="668">
        <f t="shared" ca="1" si="30"/>
        <v>178</v>
      </c>
      <c r="P272" s="655">
        <f t="shared" ca="1" si="31"/>
        <v>-10654.437726920409</v>
      </c>
      <c r="Q272" s="667">
        <f t="shared" ca="1" si="32"/>
        <v>1</v>
      </c>
      <c r="R272" s="669" t="s">
        <v>460</v>
      </c>
    </row>
    <row r="273" spans="2:18" ht="42.75" customHeight="1" x14ac:dyDescent="0.25">
      <c r="B273" s="661">
        <v>39962</v>
      </c>
      <c r="C273" s="662" t="s">
        <v>2351</v>
      </c>
      <c r="D273" s="669" t="s">
        <v>456</v>
      </c>
      <c r="E273" s="651" t="s">
        <v>485</v>
      </c>
      <c r="F273" s="663" t="s">
        <v>406</v>
      </c>
      <c r="G273" s="651" t="s">
        <v>28</v>
      </c>
      <c r="H273" s="651" t="s">
        <v>481</v>
      </c>
      <c r="I273" s="651" t="s">
        <v>482</v>
      </c>
      <c r="J273" s="664">
        <v>5417.5107086035978</v>
      </c>
      <c r="K273" s="665">
        <v>35.9</v>
      </c>
      <c r="L273" s="655">
        <f t="shared" si="28"/>
        <v>150.90559076890244</v>
      </c>
      <c r="M273" s="666">
        <v>60</v>
      </c>
      <c r="N273" s="667">
        <f t="shared" si="29"/>
        <v>90.291845143393303</v>
      </c>
      <c r="O273" s="668">
        <f t="shared" ca="1" si="30"/>
        <v>178</v>
      </c>
      <c r="P273" s="655">
        <f t="shared" ca="1" si="31"/>
        <v>-10654.437726920409</v>
      </c>
      <c r="Q273" s="667">
        <f t="shared" ca="1" si="32"/>
        <v>1</v>
      </c>
      <c r="R273" s="669" t="s">
        <v>460</v>
      </c>
    </row>
    <row r="274" spans="2:18" ht="39.950000000000003" customHeight="1" x14ac:dyDescent="0.25">
      <c r="B274" s="661">
        <v>39962</v>
      </c>
      <c r="C274" s="662" t="s">
        <v>2351</v>
      </c>
      <c r="D274" s="669" t="s">
        <v>456</v>
      </c>
      <c r="E274" s="651" t="s">
        <v>486</v>
      </c>
      <c r="F274" s="663" t="s">
        <v>406</v>
      </c>
      <c r="G274" s="651" t="s">
        <v>28</v>
      </c>
      <c r="H274" s="651" t="s">
        <v>481</v>
      </c>
      <c r="I274" s="651" t="s">
        <v>482</v>
      </c>
      <c r="J274" s="664">
        <v>5417.5107086035978</v>
      </c>
      <c r="K274" s="665">
        <v>35.9</v>
      </c>
      <c r="L274" s="655">
        <f t="shared" si="28"/>
        <v>150.90559076890244</v>
      </c>
      <c r="M274" s="666">
        <v>60</v>
      </c>
      <c r="N274" s="667">
        <f t="shared" si="29"/>
        <v>90.291845143393303</v>
      </c>
      <c r="O274" s="668">
        <f t="shared" ca="1" si="30"/>
        <v>178</v>
      </c>
      <c r="P274" s="655">
        <f t="shared" ca="1" si="31"/>
        <v>-10654.437726920409</v>
      </c>
      <c r="Q274" s="667">
        <f t="shared" ca="1" si="32"/>
        <v>1</v>
      </c>
      <c r="R274" s="669" t="s">
        <v>460</v>
      </c>
    </row>
    <row r="275" spans="2:18" ht="39.950000000000003" customHeight="1" x14ac:dyDescent="0.25">
      <c r="B275" s="661">
        <v>39962</v>
      </c>
      <c r="C275" s="662" t="s">
        <v>2351</v>
      </c>
      <c r="D275" s="669" t="s">
        <v>456</v>
      </c>
      <c r="E275" s="651" t="s">
        <v>487</v>
      </c>
      <c r="F275" s="663" t="s">
        <v>466</v>
      </c>
      <c r="G275" s="651" t="s">
        <v>28</v>
      </c>
      <c r="H275" s="651" t="s">
        <v>488</v>
      </c>
      <c r="I275" s="651" t="s">
        <v>489</v>
      </c>
      <c r="J275" s="664">
        <v>5400</v>
      </c>
      <c r="K275" s="665">
        <v>35.9</v>
      </c>
      <c r="L275" s="655">
        <f t="shared" si="28"/>
        <v>150.41782729805016</v>
      </c>
      <c r="M275" s="666">
        <v>60</v>
      </c>
      <c r="N275" s="667">
        <f t="shared" si="29"/>
        <v>90</v>
      </c>
      <c r="O275" s="668">
        <f t="shared" ca="1" si="30"/>
        <v>178</v>
      </c>
      <c r="P275" s="655">
        <f t="shared" ca="1" si="31"/>
        <v>-10620</v>
      </c>
      <c r="Q275" s="667">
        <f t="shared" ca="1" si="32"/>
        <v>1</v>
      </c>
      <c r="R275" s="669" t="s">
        <v>460</v>
      </c>
    </row>
    <row r="276" spans="2:18" ht="39.950000000000003" customHeight="1" x14ac:dyDescent="0.25">
      <c r="B276" s="661">
        <v>39962</v>
      </c>
      <c r="C276" s="662" t="s">
        <v>2351</v>
      </c>
      <c r="D276" s="669" t="s">
        <v>456</v>
      </c>
      <c r="E276" s="651" t="s">
        <v>490</v>
      </c>
      <c r="F276" s="663" t="s">
        <v>466</v>
      </c>
      <c r="G276" s="651" t="s">
        <v>28</v>
      </c>
      <c r="H276" s="651" t="s">
        <v>488</v>
      </c>
      <c r="I276" s="651" t="s">
        <v>489</v>
      </c>
      <c r="J276" s="664">
        <v>5400</v>
      </c>
      <c r="K276" s="665">
        <v>35.9</v>
      </c>
      <c r="L276" s="655">
        <f t="shared" si="28"/>
        <v>150.41782729805016</v>
      </c>
      <c r="M276" s="666">
        <v>60</v>
      </c>
      <c r="N276" s="667">
        <f t="shared" si="29"/>
        <v>90</v>
      </c>
      <c r="O276" s="668">
        <f t="shared" ca="1" si="30"/>
        <v>178</v>
      </c>
      <c r="P276" s="655">
        <f t="shared" ca="1" si="31"/>
        <v>-10620</v>
      </c>
      <c r="Q276" s="667">
        <f t="shared" ca="1" si="32"/>
        <v>1</v>
      </c>
      <c r="R276" s="669" t="s">
        <v>460</v>
      </c>
    </row>
    <row r="277" spans="2:18" ht="39.950000000000003" customHeight="1" x14ac:dyDescent="0.25">
      <c r="B277" s="661">
        <v>39962</v>
      </c>
      <c r="C277" s="662" t="s">
        <v>2351</v>
      </c>
      <c r="D277" s="669" t="s">
        <v>456</v>
      </c>
      <c r="E277" s="651" t="s">
        <v>491</v>
      </c>
      <c r="F277" s="663" t="s">
        <v>373</v>
      </c>
      <c r="G277" s="651" t="s">
        <v>28</v>
      </c>
      <c r="H277" s="651" t="s">
        <v>488</v>
      </c>
      <c r="I277" s="651" t="s">
        <v>489</v>
      </c>
      <c r="J277" s="664">
        <v>3596.8718639089461</v>
      </c>
      <c r="K277" s="665">
        <v>35.9</v>
      </c>
      <c r="L277" s="655">
        <f t="shared" si="28"/>
        <v>100.19141682197622</v>
      </c>
      <c r="M277" s="666">
        <v>60</v>
      </c>
      <c r="N277" s="667">
        <f t="shared" si="29"/>
        <v>59.947864398482437</v>
      </c>
      <c r="O277" s="668">
        <f t="shared" ca="1" si="30"/>
        <v>178</v>
      </c>
      <c r="P277" s="655">
        <f t="shared" ca="1" si="31"/>
        <v>-7073.8479990209289</v>
      </c>
      <c r="Q277" s="667">
        <f t="shared" ca="1" si="32"/>
        <v>1</v>
      </c>
      <c r="R277" s="669" t="s">
        <v>460</v>
      </c>
    </row>
    <row r="278" spans="2:18" ht="39.950000000000003" customHeight="1" x14ac:dyDescent="0.25">
      <c r="B278" s="661">
        <v>39962</v>
      </c>
      <c r="C278" s="662" t="s">
        <v>2351</v>
      </c>
      <c r="D278" s="669" t="s">
        <v>456</v>
      </c>
      <c r="E278" s="651" t="s">
        <v>492</v>
      </c>
      <c r="F278" s="663" t="s">
        <v>373</v>
      </c>
      <c r="G278" s="651" t="s">
        <v>28</v>
      </c>
      <c r="H278" s="651" t="s">
        <v>488</v>
      </c>
      <c r="I278" s="651" t="s">
        <v>489</v>
      </c>
      <c r="J278" s="664">
        <v>3596.8718639089461</v>
      </c>
      <c r="K278" s="665">
        <v>35.9</v>
      </c>
      <c r="L278" s="655">
        <f t="shared" si="28"/>
        <v>100.19141682197622</v>
      </c>
      <c r="M278" s="666">
        <v>60</v>
      </c>
      <c r="N278" s="667">
        <f t="shared" si="29"/>
        <v>59.947864398482437</v>
      </c>
      <c r="O278" s="668">
        <f t="shared" ca="1" si="30"/>
        <v>178</v>
      </c>
      <c r="P278" s="655">
        <f t="shared" ca="1" si="31"/>
        <v>-7073.8479990209289</v>
      </c>
      <c r="Q278" s="667">
        <f t="shared" ca="1" si="32"/>
        <v>1</v>
      </c>
      <c r="R278" s="669" t="s">
        <v>460</v>
      </c>
    </row>
    <row r="279" spans="2:18" ht="39.950000000000003" customHeight="1" x14ac:dyDescent="0.25">
      <c r="B279" s="661">
        <v>39962</v>
      </c>
      <c r="C279" s="662" t="s">
        <v>2351</v>
      </c>
      <c r="D279" s="669" t="s">
        <v>456</v>
      </c>
      <c r="E279" s="651" t="s">
        <v>493</v>
      </c>
      <c r="F279" s="663" t="s">
        <v>494</v>
      </c>
      <c r="G279" s="651" t="s">
        <v>28</v>
      </c>
      <c r="H279" s="651" t="s">
        <v>488</v>
      </c>
      <c r="I279" s="651" t="s">
        <v>489</v>
      </c>
      <c r="J279" s="664">
        <v>5239.8874066821691</v>
      </c>
      <c r="K279" s="665">
        <v>35.9</v>
      </c>
      <c r="L279" s="655">
        <f t="shared" si="28"/>
        <v>145.95786648139747</v>
      </c>
      <c r="M279" s="666">
        <v>60</v>
      </c>
      <c r="N279" s="667">
        <f t="shared" si="29"/>
        <v>87.331456778036156</v>
      </c>
      <c r="O279" s="668">
        <f t="shared" ca="1" si="30"/>
        <v>178</v>
      </c>
      <c r="P279" s="655">
        <f t="shared" ca="1" si="31"/>
        <v>-10305.111899808267</v>
      </c>
      <c r="Q279" s="667">
        <f t="shared" ca="1" si="32"/>
        <v>1</v>
      </c>
      <c r="R279" s="669" t="s">
        <v>460</v>
      </c>
    </row>
    <row r="280" spans="2:18" ht="39.950000000000003" customHeight="1" x14ac:dyDescent="0.25">
      <c r="B280" s="661">
        <v>39962</v>
      </c>
      <c r="C280" s="662" t="s">
        <v>2351</v>
      </c>
      <c r="D280" s="669" t="s">
        <v>456</v>
      </c>
      <c r="E280" s="651" t="s">
        <v>495</v>
      </c>
      <c r="F280" s="663" t="s">
        <v>406</v>
      </c>
      <c r="G280" s="651" t="s">
        <v>28</v>
      </c>
      <c r="H280" s="651" t="s">
        <v>488</v>
      </c>
      <c r="I280" s="651" t="s">
        <v>489</v>
      </c>
      <c r="J280" s="664">
        <v>5417.5107086035978</v>
      </c>
      <c r="K280" s="665">
        <v>35.9</v>
      </c>
      <c r="L280" s="655">
        <f t="shared" si="28"/>
        <v>150.90559076890244</v>
      </c>
      <c r="M280" s="666">
        <v>60</v>
      </c>
      <c r="N280" s="667">
        <f t="shared" si="29"/>
        <v>90.291845143393303</v>
      </c>
      <c r="O280" s="668">
        <f t="shared" ca="1" si="30"/>
        <v>178</v>
      </c>
      <c r="P280" s="655">
        <f t="shared" ca="1" si="31"/>
        <v>-10654.437726920409</v>
      </c>
      <c r="Q280" s="667">
        <f t="shared" ca="1" si="32"/>
        <v>1</v>
      </c>
      <c r="R280" s="669" t="s">
        <v>460</v>
      </c>
    </row>
    <row r="281" spans="2:18" ht="47.25" customHeight="1" x14ac:dyDescent="0.25">
      <c r="B281" s="661">
        <v>39962</v>
      </c>
      <c r="C281" s="662" t="s">
        <v>2351</v>
      </c>
      <c r="D281" s="669" t="s">
        <v>456</v>
      </c>
      <c r="E281" s="651" t="s">
        <v>496</v>
      </c>
      <c r="F281" s="663" t="s">
        <v>406</v>
      </c>
      <c r="G281" s="651" t="s">
        <v>28</v>
      </c>
      <c r="H281" s="651" t="s">
        <v>488</v>
      </c>
      <c r="I281" s="651" t="s">
        <v>489</v>
      </c>
      <c r="J281" s="664">
        <v>5417.5107086035978</v>
      </c>
      <c r="K281" s="665">
        <v>35.9</v>
      </c>
      <c r="L281" s="655">
        <f t="shared" si="28"/>
        <v>150.90559076890244</v>
      </c>
      <c r="M281" s="666">
        <v>60</v>
      </c>
      <c r="N281" s="667">
        <f t="shared" si="29"/>
        <v>90.291845143393303</v>
      </c>
      <c r="O281" s="668">
        <f t="shared" ca="1" si="30"/>
        <v>178</v>
      </c>
      <c r="P281" s="655">
        <f t="shared" ca="1" si="31"/>
        <v>-10654.437726920409</v>
      </c>
      <c r="Q281" s="667">
        <f t="shared" ca="1" si="32"/>
        <v>1</v>
      </c>
      <c r="R281" s="669" t="s">
        <v>460</v>
      </c>
    </row>
    <row r="282" spans="2:18" ht="45" customHeight="1" x14ac:dyDescent="0.25">
      <c r="B282" s="661">
        <v>39962</v>
      </c>
      <c r="C282" s="662" t="s">
        <v>2351</v>
      </c>
      <c r="D282" s="669" t="s">
        <v>456</v>
      </c>
      <c r="E282" s="651" t="s">
        <v>497</v>
      </c>
      <c r="F282" s="663" t="s">
        <v>410</v>
      </c>
      <c r="G282" s="651" t="s">
        <v>28</v>
      </c>
      <c r="H282" s="651" t="s">
        <v>488</v>
      </c>
      <c r="I282" s="651" t="s">
        <v>489</v>
      </c>
      <c r="J282" s="664">
        <v>932.52233508750464</v>
      </c>
      <c r="K282" s="665">
        <v>35.9</v>
      </c>
      <c r="L282" s="655">
        <f t="shared" si="28"/>
        <v>25.975552509401243</v>
      </c>
      <c r="M282" s="666">
        <v>60</v>
      </c>
      <c r="N282" s="667">
        <f t="shared" si="29"/>
        <v>15.542038918125078</v>
      </c>
      <c r="O282" s="668">
        <f t="shared" ca="1" si="30"/>
        <v>178</v>
      </c>
      <c r="P282" s="655">
        <f t="shared" ca="1" si="31"/>
        <v>-1833.9605923387592</v>
      </c>
      <c r="Q282" s="667">
        <f t="shared" ca="1" si="32"/>
        <v>1</v>
      </c>
      <c r="R282" s="669" t="s">
        <v>460</v>
      </c>
    </row>
    <row r="283" spans="2:18" ht="69" customHeight="1" x14ac:dyDescent="0.25">
      <c r="B283" s="661">
        <v>39962</v>
      </c>
      <c r="C283" s="662" t="s">
        <v>2351</v>
      </c>
      <c r="D283" s="669" t="s">
        <v>456</v>
      </c>
      <c r="E283" s="651" t="s">
        <v>499</v>
      </c>
      <c r="F283" s="663" t="s">
        <v>373</v>
      </c>
      <c r="G283" s="651" t="s">
        <v>28</v>
      </c>
      <c r="H283" s="651" t="s">
        <v>67</v>
      </c>
      <c r="I283" s="651" t="s">
        <v>4431</v>
      </c>
      <c r="J283" s="664">
        <v>3596.8718639089461</v>
      </c>
      <c r="K283" s="665">
        <v>35.9</v>
      </c>
      <c r="L283" s="655">
        <f t="shared" si="28"/>
        <v>100.19141682197622</v>
      </c>
      <c r="M283" s="666">
        <v>60</v>
      </c>
      <c r="N283" s="667">
        <f t="shared" si="29"/>
        <v>59.947864398482437</v>
      </c>
      <c r="O283" s="668">
        <f t="shared" ca="1" si="30"/>
        <v>178</v>
      </c>
      <c r="P283" s="655">
        <f t="shared" ca="1" si="31"/>
        <v>-7073.8479990209289</v>
      </c>
      <c r="Q283" s="667">
        <f t="shared" ca="1" si="32"/>
        <v>1</v>
      </c>
      <c r="R283" s="669" t="s">
        <v>460</v>
      </c>
    </row>
    <row r="284" spans="2:18" ht="63.75" customHeight="1" x14ac:dyDescent="0.25">
      <c r="B284" s="661">
        <v>39962</v>
      </c>
      <c r="C284" s="662" t="s">
        <v>2351</v>
      </c>
      <c r="D284" s="669" t="s">
        <v>456</v>
      </c>
      <c r="E284" s="651" t="s">
        <v>500</v>
      </c>
      <c r="F284" s="663" t="s">
        <v>373</v>
      </c>
      <c r="G284" s="651" t="s">
        <v>28</v>
      </c>
      <c r="H284" s="651" t="s">
        <v>67</v>
      </c>
      <c r="I284" s="651" t="s">
        <v>498</v>
      </c>
      <c r="J284" s="664">
        <v>3596.8718639089461</v>
      </c>
      <c r="K284" s="665">
        <v>35.9</v>
      </c>
      <c r="L284" s="655">
        <f t="shared" ref="L284:L321" si="33">+J284/K284</f>
        <v>100.19141682197622</v>
      </c>
      <c r="M284" s="666">
        <v>60</v>
      </c>
      <c r="N284" s="667">
        <f t="shared" ref="N284:N321" si="34">IF(AND(J284&lt;&gt;0,M284&lt;&gt;0),J284/M284,0)</f>
        <v>59.947864398482437</v>
      </c>
      <c r="O284" s="668">
        <f t="shared" ref="O284:O321" ca="1" si="35">IF(B284&lt;&gt;0,(ROUND((NOW()-B284)/30,0)),0)</f>
        <v>178</v>
      </c>
      <c r="P284" s="655">
        <f t="shared" ca="1" si="31"/>
        <v>-7073.8479990209289</v>
      </c>
      <c r="Q284" s="667">
        <f t="shared" ca="1" si="32"/>
        <v>1</v>
      </c>
      <c r="R284" s="669" t="s">
        <v>460</v>
      </c>
    </row>
    <row r="285" spans="2:18" ht="60" customHeight="1" x14ac:dyDescent="0.25">
      <c r="B285" s="661">
        <v>39962</v>
      </c>
      <c r="C285" s="662" t="s">
        <v>2351</v>
      </c>
      <c r="D285" s="669" t="s">
        <v>456</v>
      </c>
      <c r="E285" s="651" t="s">
        <v>501</v>
      </c>
      <c r="F285" s="663" t="s">
        <v>494</v>
      </c>
      <c r="G285" s="651" t="s">
        <v>28</v>
      </c>
      <c r="H285" s="651" t="s">
        <v>67</v>
      </c>
      <c r="I285" s="651" t="s">
        <v>498</v>
      </c>
      <c r="J285" s="664">
        <v>5239.8874066821691</v>
      </c>
      <c r="K285" s="665">
        <v>35.9</v>
      </c>
      <c r="L285" s="655">
        <f t="shared" si="33"/>
        <v>145.95786648139747</v>
      </c>
      <c r="M285" s="666">
        <v>60</v>
      </c>
      <c r="N285" s="667">
        <f t="shared" si="34"/>
        <v>87.331456778036156</v>
      </c>
      <c r="O285" s="668">
        <f t="shared" ca="1" si="35"/>
        <v>178</v>
      </c>
      <c r="P285" s="655">
        <f t="shared" ref="P285:P322" ca="1" si="36">IF(OR(J285=0,M285=0,O285=0),0,J285-(N285*O285))</f>
        <v>-10305.111899808267</v>
      </c>
      <c r="Q285" s="667">
        <f t="shared" ca="1" si="32"/>
        <v>1</v>
      </c>
      <c r="R285" s="669" t="s">
        <v>460</v>
      </c>
    </row>
    <row r="286" spans="2:18" ht="60" customHeight="1" x14ac:dyDescent="0.25">
      <c r="B286" s="661">
        <v>39962</v>
      </c>
      <c r="C286" s="662" t="s">
        <v>2351</v>
      </c>
      <c r="D286" s="669" t="s">
        <v>456</v>
      </c>
      <c r="E286" s="651" t="s">
        <v>502</v>
      </c>
      <c r="F286" s="663" t="s">
        <v>494</v>
      </c>
      <c r="G286" s="651" t="s">
        <v>28</v>
      </c>
      <c r="H286" s="651" t="s">
        <v>67</v>
      </c>
      <c r="I286" s="651" t="s">
        <v>498</v>
      </c>
      <c r="J286" s="664">
        <v>5239.8874066821691</v>
      </c>
      <c r="K286" s="665">
        <v>35.9</v>
      </c>
      <c r="L286" s="655">
        <f t="shared" si="33"/>
        <v>145.95786648139747</v>
      </c>
      <c r="M286" s="666">
        <v>60</v>
      </c>
      <c r="N286" s="667">
        <f t="shared" si="34"/>
        <v>87.331456778036156</v>
      </c>
      <c r="O286" s="668">
        <f t="shared" ca="1" si="35"/>
        <v>178</v>
      </c>
      <c r="P286" s="655">
        <f t="shared" ca="1" si="36"/>
        <v>-10305.111899808267</v>
      </c>
      <c r="Q286" s="667">
        <f t="shared" ca="1" si="32"/>
        <v>1</v>
      </c>
      <c r="R286" s="669" t="s">
        <v>460</v>
      </c>
    </row>
    <row r="287" spans="2:18" ht="60" customHeight="1" x14ac:dyDescent="0.25">
      <c r="B287" s="661">
        <v>39962</v>
      </c>
      <c r="C287" s="662" t="s">
        <v>2351</v>
      </c>
      <c r="D287" s="669" t="s">
        <v>456</v>
      </c>
      <c r="E287" s="651" t="s">
        <v>503</v>
      </c>
      <c r="F287" s="663" t="s">
        <v>406</v>
      </c>
      <c r="G287" s="651" t="s">
        <v>28</v>
      </c>
      <c r="H287" s="651" t="s">
        <v>67</v>
      </c>
      <c r="I287" s="651" t="s">
        <v>498</v>
      </c>
      <c r="J287" s="664">
        <v>5417.5107086035978</v>
      </c>
      <c r="K287" s="665">
        <v>35.9</v>
      </c>
      <c r="L287" s="655">
        <f t="shared" si="33"/>
        <v>150.90559076890244</v>
      </c>
      <c r="M287" s="666">
        <v>60</v>
      </c>
      <c r="N287" s="667">
        <f t="shared" si="34"/>
        <v>90.291845143393303</v>
      </c>
      <c r="O287" s="668">
        <f t="shared" ca="1" si="35"/>
        <v>178</v>
      </c>
      <c r="P287" s="655">
        <f t="shared" ca="1" si="36"/>
        <v>-10654.437726920409</v>
      </c>
      <c r="Q287" s="667">
        <f t="shared" ca="1" si="32"/>
        <v>1</v>
      </c>
      <c r="R287" s="669" t="s">
        <v>460</v>
      </c>
    </row>
    <row r="288" spans="2:18" ht="60" customHeight="1" x14ac:dyDescent="0.25">
      <c r="B288" s="661">
        <v>39962</v>
      </c>
      <c r="C288" s="662" t="s">
        <v>2351</v>
      </c>
      <c r="D288" s="669" t="s">
        <v>456</v>
      </c>
      <c r="E288" s="651" t="s">
        <v>504</v>
      </c>
      <c r="F288" s="663" t="s">
        <v>406</v>
      </c>
      <c r="G288" s="651" t="s">
        <v>28</v>
      </c>
      <c r="H288" s="651" t="s">
        <v>67</v>
      </c>
      <c r="I288" s="651" t="s">
        <v>498</v>
      </c>
      <c r="J288" s="664">
        <v>5417.5107086035978</v>
      </c>
      <c r="K288" s="665">
        <v>35.9</v>
      </c>
      <c r="L288" s="655">
        <f t="shared" si="33"/>
        <v>150.90559076890244</v>
      </c>
      <c r="M288" s="666">
        <v>60</v>
      </c>
      <c r="N288" s="667">
        <f t="shared" si="34"/>
        <v>90.291845143393303</v>
      </c>
      <c r="O288" s="668">
        <f t="shared" ca="1" si="35"/>
        <v>178</v>
      </c>
      <c r="P288" s="655">
        <f t="shared" ca="1" si="36"/>
        <v>-10654.437726920409</v>
      </c>
      <c r="Q288" s="667">
        <f t="shared" ca="1" si="32"/>
        <v>1</v>
      </c>
      <c r="R288" s="669" t="s">
        <v>460</v>
      </c>
    </row>
    <row r="289" spans="2:18" ht="68.25" customHeight="1" x14ac:dyDescent="0.25">
      <c r="B289" s="661">
        <v>39962</v>
      </c>
      <c r="C289" s="662" t="s">
        <v>2351</v>
      </c>
      <c r="D289" s="669" t="s">
        <v>456</v>
      </c>
      <c r="E289" s="651" t="s">
        <v>505</v>
      </c>
      <c r="F289" s="663" t="s">
        <v>406</v>
      </c>
      <c r="G289" s="651" t="s">
        <v>28</v>
      </c>
      <c r="H289" s="651" t="s">
        <v>67</v>
      </c>
      <c r="I289" s="651" t="s">
        <v>498</v>
      </c>
      <c r="J289" s="664">
        <v>5417.5107086035978</v>
      </c>
      <c r="K289" s="665">
        <v>35.9</v>
      </c>
      <c r="L289" s="655">
        <f t="shared" si="33"/>
        <v>150.90559076890244</v>
      </c>
      <c r="M289" s="666">
        <v>60</v>
      </c>
      <c r="N289" s="667">
        <f t="shared" si="34"/>
        <v>90.291845143393303</v>
      </c>
      <c r="O289" s="668">
        <f t="shared" ca="1" si="35"/>
        <v>178</v>
      </c>
      <c r="P289" s="655">
        <f t="shared" ca="1" si="36"/>
        <v>-10654.437726920409</v>
      </c>
      <c r="Q289" s="667">
        <f t="shared" ca="1" si="32"/>
        <v>1</v>
      </c>
      <c r="R289" s="669" t="s">
        <v>460</v>
      </c>
    </row>
    <row r="290" spans="2:18" ht="60" customHeight="1" x14ac:dyDescent="0.25">
      <c r="B290" s="661">
        <v>39962</v>
      </c>
      <c r="C290" s="662" t="s">
        <v>2351</v>
      </c>
      <c r="D290" s="669" t="s">
        <v>456</v>
      </c>
      <c r="E290" s="651" t="s">
        <v>506</v>
      </c>
      <c r="F290" s="663" t="s">
        <v>410</v>
      </c>
      <c r="G290" s="651" t="s">
        <v>28</v>
      </c>
      <c r="H290" s="651" t="s">
        <v>23</v>
      </c>
      <c r="I290" s="651" t="s">
        <v>24</v>
      </c>
      <c r="J290" s="664">
        <v>932.52233508750464</v>
      </c>
      <c r="K290" s="665">
        <v>35.9</v>
      </c>
      <c r="L290" s="655">
        <f t="shared" si="33"/>
        <v>25.975552509401243</v>
      </c>
      <c r="M290" s="666">
        <v>60</v>
      </c>
      <c r="N290" s="667">
        <f t="shared" si="34"/>
        <v>15.542038918125078</v>
      </c>
      <c r="O290" s="668">
        <f t="shared" ca="1" si="35"/>
        <v>178</v>
      </c>
      <c r="P290" s="655">
        <f t="shared" ca="1" si="36"/>
        <v>-1833.9605923387592</v>
      </c>
      <c r="Q290" s="667">
        <f t="shared" ca="1" si="32"/>
        <v>1</v>
      </c>
      <c r="R290" s="669" t="s">
        <v>460</v>
      </c>
    </row>
    <row r="291" spans="2:18" ht="60" customHeight="1" x14ac:dyDescent="0.25">
      <c r="B291" s="661">
        <v>39962</v>
      </c>
      <c r="C291" s="662" t="s">
        <v>2351</v>
      </c>
      <c r="D291" s="669" t="s">
        <v>456</v>
      </c>
      <c r="E291" s="651" t="s">
        <v>507</v>
      </c>
      <c r="F291" s="663" t="s">
        <v>466</v>
      </c>
      <c r="G291" s="651" t="s">
        <v>28</v>
      </c>
      <c r="H291" s="651" t="s">
        <v>67</v>
      </c>
      <c r="I291" s="651" t="s">
        <v>508</v>
      </c>
      <c r="J291" s="670">
        <v>5400</v>
      </c>
      <c r="K291" s="665">
        <v>35.9</v>
      </c>
      <c r="L291" s="655">
        <f t="shared" si="33"/>
        <v>150.41782729805016</v>
      </c>
      <c r="M291" s="628">
        <v>60</v>
      </c>
      <c r="N291" s="667">
        <f t="shared" si="34"/>
        <v>90</v>
      </c>
      <c r="O291" s="668">
        <f t="shared" ca="1" si="35"/>
        <v>178</v>
      </c>
      <c r="P291" s="655">
        <f t="shared" ca="1" si="36"/>
        <v>-10620</v>
      </c>
      <c r="Q291" s="667">
        <f t="shared" ca="1" si="32"/>
        <v>1</v>
      </c>
      <c r="R291" s="669" t="s">
        <v>460</v>
      </c>
    </row>
    <row r="292" spans="2:18" ht="60" customHeight="1" x14ac:dyDescent="0.25">
      <c r="B292" s="661">
        <v>39962</v>
      </c>
      <c r="C292" s="662" t="s">
        <v>2351</v>
      </c>
      <c r="D292" s="669" t="s">
        <v>456</v>
      </c>
      <c r="E292" s="651" t="s">
        <v>509</v>
      </c>
      <c r="F292" s="663" t="s">
        <v>466</v>
      </c>
      <c r="G292" s="651" t="s">
        <v>28</v>
      </c>
      <c r="H292" s="651" t="s">
        <v>67</v>
      </c>
      <c r="I292" s="651" t="s">
        <v>508</v>
      </c>
      <c r="J292" s="670">
        <v>5400</v>
      </c>
      <c r="K292" s="665">
        <v>35.9</v>
      </c>
      <c r="L292" s="655">
        <f t="shared" si="33"/>
        <v>150.41782729805016</v>
      </c>
      <c r="M292" s="628">
        <v>60</v>
      </c>
      <c r="N292" s="667">
        <f t="shared" si="34"/>
        <v>90</v>
      </c>
      <c r="O292" s="668">
        <f t="shared" ca="1" si="35"/>
        <v>178</v>
      </c>
      <c r="P292" s="655">
        <f t="shared" ca="1" si="36"/>
        <v>-10620</v>
      </c>
      <c r="Q292" s="667">
        <f t="shared" ca="1" si="32"/>
        <v>1</v>
      </c>
      <c r="R292" s="669" t="s">
        <v>460</v>
      </c>
    </row>
    <row r="293" spans="2:18" ht="39.950000000000003" customHeight="1" x14ac:dyDescent="0.25">
      <c r="B293" s="661">
        <v>40010</v>
      </c>
      <c r="C293" s="662" t="s">
        <v>2351</v>
      </c>
      <c r="D293" s="669" t="s">
        <v>510</v>
      </c>
      <c r="E293" s="651" t="s">
        <v>511</v>
      </c>
      <c r="F293" s="669" t="s">
        <v>512</v>
      </c>
      <c r="G293" s="651" t="s">
        <v>28</v>
      </c>
      <c r="H293" s="651" t="s">
        <v>513</v>
      </c>
      <c r="I293" s="651" t="s">
        <v>514</v>
      </c>
      <c r="J293" s="664">
        <v>18720</v>
      </c>
      <c r="K293" s="665">
        <v>36.07</v>
      </c>
      <c r="L293" s="655">
        <f t="shared" si="33"/>
        <v>518.99085112281671</v>
      </c>
      <c r="M293" s="666">
        <v>60</v>
      </c>
      <c r="N293" s="667">
        <f t="shared" si="34"/>
        <v>312</v>
      </c>
      <c r="O293" s="668">
        <f t="shared" ca="1" si="35"/>
        <v>176</v>
      </c>
      <c r="P293" s="655">
        <f t="shared" ca="1" si="36"/>
        <v>-36192</v>
      </c>
      <c r="Q293" s="667">
        <f t="shared" ca="1" si="32"/>
        <v>1</v>
      </c>
      <c r="R293" s="669" t="s">
        <v>403</v>
      </c>
    </row>
    <row r="294" spans="2:18" ht="39.950000000000003" customHeight="1" x14ac:dyDescent="0.25">
      <c r="B294" s="661">
        <v>40010</v>
      </c>
      <c r="C294" s="662" t="s">
        <v>2351</v>
      </c>
      <c r="D294" s="669" t="s">
        <v>510</v>
      </c>
      <c r="E294" s="651" t="s">
        <v>515</v>
      </c>
      <c r="F294" s="663" t="s">
        <v>512</v>
      </c>
      <c r="G294" s="651" t="s">
        <v>28</v>
      </c>
      <c r="H294" s="651" t="s">
        <v>303</v>
      </c>
      <c r="I294" s="651" t="s">
        <v>4408</v>
      </c>
      <c r="J294" s="664">
        <v>18720</v>
      </c>
      <c r="K294" s="665">
        <v>36.07</v>
      </c>
      <c r="L294" s="655">
        <f t="shared" si="33"/>
        <v>518.99085112281671</v>
      </c>
      <c r="M294" s="666">
        <v>60</v>
      </c>
      <c r="N294" s="667">
        <f t="shared" si="34"/>
        <v>312</v>
      </c>
      <c r="O294" s="668">
        <f t="shared" ca="1" si="35"/>
        <v>176</v>
      </c>
      <c r="P294" s="655">
        <f t="shared" ca="1" si="36"/>
        <v>-36192</v>
      </c>
      <c r="Q294" s="667">
        <f t="shared" ca="1" si="32"/>
        <v>1</v>
      </c>
      <c r="R294" s="669" t="s">
        <v>403</v>
      </c>
    </row>
    <row r="295" spans="2:18" ht="39.950000000000003" customHeight="1" x14ac:dyDescent="0.25">
      <c r="B295" s="661">
        <v>40010</v>
      </c>
      <c r="C295" s="662" t="s">
        <v>2351</v>
      </c>
      <c r="D295" s="669" t="s">
        <v>510</v>
      </c>
      <c r="E295" s="651" t="s">
        <v>516</v>
      </c>
      <c r="F295" s="663" t="s">
        <v>512</v>
      </c>
      <c r="G295" s="651" t="s">
        <v>28</v>
      </c>
      <c r="H295" s="651" t="s">
        <v>303</v>
      </c>
      <c r="I295" s="651" t="s">
        <v>4408</v>
      </c>
      <c r="J295" s="664">
        <v>18720</v>
      </c>
      <c r="K295" s="665">
        <v>36.07</v>
      </c>
      <c r="L295" s="655">
        <f t="shared" si="33"/>
        <v>518.99085112281671</v>
      </c>
      <c r="M295" s="666">
        <v>60</v>
      </c>
      <c r="N295" s="667">
        <f t="shared" si="34"/>
        <v>312</v>
      </c>
      <c r="O295" s="668">
        <f t="shared" ca="1" si="35"/>
        <v>176</v>
      </c>
      <c r="P295" s="655">
        <f t="shared" ca="1" si="36"/>
        <v>-36192</v>
      </c>
      <c r="Q295" s="667">
        <f t="shared" ca="1" si="32"/>
        <v>1</v>
      </c>
      <c r="R295" s="669" t="s">
        <v>403</v>
      </c>
    </row>
    <row r="296" spans="2:18" ht="39.950000000000003" customHeight="1" x14ac:dyDescent="0.25">
      <c r="B296" s="661">
        <v>40010</v>
      </c>
      <c r="C296" s="662" t="s">
        <v>2351</v>
      </c>
      <c r="D296" s="669" t="s">
        <v>510</v>
      </c>
      <c r="E296" s="651" t="s">
        <v>517</v>
      </c>
      <c r="F296" s="663" t="s">
        <v>512</v>
      </c>
      <c r="G296" s="651" t="s">
        <v>28</v>
      </c>
      <c r="H296" s="651" t="s">
        <v>23</v>
      </c>
      <c r="I296" s="651" t="s">
        <v>216</v>
      </c>
      <c r="J296" s="670">
        <v>18720</v>
      </c>
      <c r="K296" s="665">
        <v>36.07</v>
      </c>
      <c r="L296" s="655">
        <f t="shared" si="33"/>
        <v>518.99085112281671</v>
      </c>
      <c r="M296" s="628">
        <v>60</v>
      </c>
      <c r="N296" s="667">
        <f t="shared" si="34"/>
        <v>312</v>
      </c>
      <c r="O296" s="668">
        <f t="shared" ca="1" si="35"/>
        <v>176</v>
      </c>
      <c r="P296" s="655">
        <f t="shared" ca="1" si="36"/>
        <v>-36192</v>
      </c>
      <c r="Q296" s="667">
        <f t="shared" ca="1" si="32"/>
        <v>1</v>
      </c>
      <c r="R296" s="669" t="s">
        <v>403</v>
      </c>
    </row>
    <row r="297" spans="2:18" ht="39.950000000000003" customHeight="1" x14ac:dyDescent="0.25">
      <c r="B297" s="661">
        <v>40010</v>
      </c>
      <c r="C297" s="662" t="s">
        <v>2351</v>
      </c>
      <c r="D297" s="669" t="s">
        <v>510</v>
      </c>
      <c r="E297" s="651" t="s">
        <v>518</v>
      </c>
      <c r="F297" s="663" t="s">
        <v>512</v>
      </c>
      <c r="G297" s="651" t="s">
        <v>28</v>
      </c>
      <c r="H297" s="651" t="s">
        <v>23</v>
      </c>
      <c r="I297" s="651" t="s">
        <v>216</v>
      </c>
      <c r="J297" s="670">
        <v>18720</v>
      </c>
      <c r="K297" s="665">
        <v>36.07</v>
      </c>
      <c r="L297" s="655">
        <f t="shared" si="33"/>
        <v>518.99085112281671</v>
      </c>
      <c r="M297" s="628">
        <v>60</v>
      </c>
      <c r="N297" s="667">
        <f t="shared" si="34"/>
        <v>312</v>
      </c>
      <c r="O297" s="668">
        <f t="shared" ca="1" si="35"/>
        <v>176</v>
      </c>
      <c r="P297" s="655">
        <f t="shared" ca="1" si="36"/>
        <v>-36192</v>
      </c>
      <c r="Q297" s="667">
        <f t="shared" ca="1" si="32"/>
        <v>1</v>
      </c>
      <c r="R297" s="669" t="s">
        <v>403</v>
      </c>
    </row>
    <row r="298" spans="2:18" ht="39.950000000000003" customHeight="1" x14ac:dyDescent="0.25">
      <c r="B298" s="661">
        <v>40010</v>
      </c>
      <c r="C298" s="662" t="s">
        <v>2351</v>
      </c>
      <c r="D298" s="669" t="s">
        <v>510</v>
      </c>
      <c r="E298" s="651" t="s">
        <v>519</v>
      </c>
      <c r="F298" s="663" t="s">
        <v>512</v>
      </c>
      <c r="G298" s="651" t="s">
        <v>28</v>
      </c>
      <c r="H298" s="651" t="s">
        <v>520</v>
      </c>
      <c r="I298" s="651" t="s">
        <v>521</v>
      </c>
      <c r="J298" s="664">
        <v>18720</v>
      </c>
      <c r="K298" s="665">
        <v>36.07</v>
      </c>
      <c r="L298" s="655">
        <f t="shared" si="33"/>
        <v>518.99085112281671</v>
      </c>
      <c r="M298" s="666">
        <v>60</v>
      </c>
      <c r="N298" s="667">
        <f t="shared" si="34"/>
        <v>312</v>
      </c>
      <c r="O298" s="668">
        <f t="shared" ca="1" si="35"/>
        <v>176</v>
      </c>
      <c r="P298" s="655">
        <f t="shared" ca="1" si="36"/>
        <v>-36192</v>
      </c>
      <c r="Q298" s="667">
        <f t="shared" ca="1" si="32"/>
        <v>1</v>
      </c>
      <c r="R298" s="669" t="s">
        <v>403</v>
      </c>
    </row>
    <row r="299" spans="2:18" ht="39.950000000000003" customHeight="1" x14ac:dyDescent="0.25">
      <c r="B299" s="661">
        <v>40023</v>
      </c>
      <c r="C299" s="662" t="s">
        <v>2351</v>
      </c>
      <c r="D299" s="669" t="s">
        <v>522</v>
      </c>
      <c r="E299" s="651" t="s">
        <v>525</v>
      </c>
      <c r="F299" s="663" t="s">
        <v>526</v>
      </c>
      <c r="G299" s="651" t="s">
        <v>28</v>
      </c>
      <c r="H299" s="651" t="s">
        <v>527</v>
      </c>
      <c r="I299" s="651" t="s">
        <v>528</v>
      </c>
      <c r="J299" s="664">
        <v>2950</v>
      </c>
      <c r="K299" s="665">
        <v>35.99</v>
      </c>
      <c r="L299" s="655">
        <f t="shared" si="33"/>
        <v>81.967213114754088</v>
      </c>
      <c r="M299" s="666">
        <v>60</v>
      </c>
      <c r="N299" s="667">
        <f t="shared" si="34"/>
        <v>49.166666666666664</v>
      </c>
      <c r="O299" s="668">
        <f t="shared" ca="1" si="35"/>
        <v>176</v>
      </c>
      <c r="P299" s="655">
        <f t="shared" ca="1" si="36"/>
        <v>-5703.3333333333321</v>
      </c>
      <c r="Q299" s="667">
        <f t="shared" ca="1" si="32"/>
        <v>1</v>
      </c>
      <c r="R299" s="669" t="s">
        <v>320</v>
      </c>
    </row>
    <row r="300" spans="2:18" ht="39.950000000000003" customHeight="1" x14ac:dyDescent="0.25">
      <c r="B300" s="661">
        <v>40023</v>
      </c>
      <c r="C300" s="662" t="s">
        <v>2351</v>
      </c>
      <c r="D300" s="669" t="s">
        <v>522</v>
      </c>
      <c r="E300" s="651" t="s">
        <v>529</v>
      </c>
      <c r="F300" s="663" t="s">
        <v>307</v>
      </c>
      <c r="G300" s="651" t="s">
        <v>28</v>
      </c>
      <c r="H300" s="651" t="s">
        <v>527</v>
      </c>
      <c r="I300" s="651" t="s">
        <v>528</v>
      </c>
      <c r="J300" s="664">
        <v>9000</v>
      </c>
      <c r="K300" s="665">
        <v>35.99</v>
      </c>
      <c r="L300" s="655">
        <f t="shared" si="33"/>
        <v>250.06946373992776</v>
      </c>
      <c r="M300" s="666">
        <v>60</v>
      </c>
      <c r="N300" s="667">
        <f t="shared" si="34"/>
        <v>150</v>
      </c>
      <c r="O300" s="668">
        <f t="shared" ca="1" si="35"/>
        <v>176</v>
      </c>
      <c r="P300" s="655">
        <f t="shared" ca="1" si="36"/>
        <v>-17400</v>
      </c>
      <c r="Q300" s="667">
        <f t="shared" ca="1" si="32"/>
        <v>1</v>
      </c>
      <c r="R300" s="669" t="s">
        <v>320</v>
      </c>
    </row>
    <row r="301" spans="2:18" ht="39.950000000000003" customHeight="1" x14ac:dyDescent="0.25">
      <c r="B301" s="661">
        <v>40023</v>
      </c>
      <c r="C301" s="662" t="s">
        <v>2351</v>
      </c>
      <c r="D301" s="669" t="s">
        <v>522</v>
      </c>
      <c r="E301" s="651" t="s">
        <v>530</v>
      </c>
      <c r="F301" s="663" t="s">
        <v>523</v>
      </c>
      <c r="G301" s="651" t="s">
        <v>28</v>
      </c>
      <c r="H301" s="651" t="s">
        <v>527</v>
      </c>
      <c r="I301" s="651" t="s">
        <v>528</v>
      </c>
      <c r="J301" s="664">
        <v>16905</v>
      </c>
      <c r="K301" s="665">
        <v>35.99</v>
      </c>
      <c r="L301" s="655">
        <f t="shared" si="33"/>
        <v>469.71380939149759</v>
      </c>
      <c r="M301" s="666">
        <v>60</v>
      </c>
      <c r="N301" s="667">
        <f t="shared" si="34"/>
        <v>281.75</v>
      </c>
      <c r="O301" s="668">
        <f t="shared" ca="1" si="35"/>
        <v>176</v>
      </c>
      <c r="P301" s="655">
        <f t="shared" ca="1" si="36"/>
        <v>-32683</v>
      </c>
      <c r="Q301" s="667">
        <f t="shared" ca="1" si="32"/>
        <v>1</v>
      </c>
      <c r="R301" s="669" t="s">
        <v>320</v>
      </c>
    </row>
    <row r="302" spans="2:18" ht="39.950000000000003" customHeight="1" x14ac:dyDescent="0.25">
      <c r="B302" s="661">
        <v>40023</v>
      </c>
      <c r="C302" s="662" t="s">
        <v>2351</v>
      </c>
      <c r="D302" s="669" t="s">
        <v>522</v>
      </c>
      <c r="E302" s="651" t="s">
        <v>531</v>
      </c>
      <c r="F302" s="663" t="s">
        <v>408</v>
      </c>
      <c r="G302" s="651" t="s">
        <v>28</v>
      </c>
      <c r="H302" s="651" t="s">
        <v>527</v>
      </c>
      <c r="I302" s="651" t="s">
        <v>528</v>
      </c>
      <c r="J302" s="664">
        <v>5060</v>
      </c>
      <c r="K302" s="665">
        <v>35.99</v>
      </c>
      <c r="L302" s="655">
        <f t="shared" si="33"/>
        <v>140.59460961378159</v>
      </c>
      <c r="M302" s="666">
        <v>60</v>
      </c>
      <c r="N302" s="667">
        <f t="shared" si="34"/>
        <v>84.333333333333329</v>
      </c>
      <c r="O302" s="668">
        <f t="shared" ca="1" si="35"/>
        <v>176</v>
      </c>
      <c r="P302" s="655">
        <f t="shared" ca="1" si="36"/>
        <v>-9782.6666666666661</v>
      </c>
      <c r="Q302" s="667">
        <f t="shared" ca="1" si="32"/>
        <v>1</v>
      </c>
      <c r="R302" s="669" t="s">
        <v>320</v>
      </c>
    </row>
    <row r="303" spans="2:18" ht="39.950000000000003" customHeight="1" x14ac:dyDescent="0.25">
      <c r="B303" s="661">
        <v>40023</v>
      </c>
      <c r="C303" s="662" t="s">
        <v>2351</v>
      </c>
      <c r="D303" s="669" t="s">
        <v>522</v>
      </c>
      <c r="E303" s="651" t="s">
        <v>532</v>
      </c>
      <c r="F303" s="663" t="s">
        <v>524</v>
      </c>
      <c r="G303" s="651" t="s">
        <v>28</v>
      </c>
      <c r="H303" s="651" t="s">
        <v>527</v>
      </c>
      <c r="I303" s="651" t="s">
        <v>528</v>
      </c>
      <c r="J303" s="664">
        <v>1260</v>
      </c>
      <c r="K303" s="665">
        <v>35.99</v>
      </c>
      <c r="L303" s="655">
        <f t="shared" si="33"/>
        <v>35.009724923589886</v>
      </c>
      <c r="M303" s="666">
        <v>60</v>
      </c>
      <c r="N303" s="667">
        <f t="shared" si="34"/>
        <v>21</v>
      </c>
      <c r="O303" s="668">
        <f t="shared" ca="1" si="35"/>
        <v>176</v>
      </c>
      <c r="P303" s="655">
        <f t="shared" ca="1" si="36"/>
        <v>-2436</v>
      </c>
      <c r="Q303" s="667">
        <f t="shared" ca="1" si="32"/>
        <v>1</v>
      </c>
      <c r="R303" s="669" t="s">
        <v>320</v>
      </c>
    </row>
    <row r="304" spans="2:18" ht="39.950000000000003" customHeight="1" x14ac:dyDescent="0.25">
      <c r="B304" s="661">
        <v>40023</v>
      </c>
      <c r="C304" s="662" t="s">
        <v>2351</v>
      </c>
      <c r="D304" s="669" t="s">
        <v>522</v>
      </c>
      <c r="E304" s="651" t="s">
        <v>533</v>
      </c>
      <c r="F304" s="663" t="s">
        <v>524</v>
      </c>
      <c r="G304" s="651" t="s">
        <v>28</v>
      </c>
      <c r="H304" s="651" t="s">
        <v>527</v>
      </c>
      <c r="I304" s="651" t="s">
        <v>528</v>
      </c>
      <c r="J304" s="664">
        <v>1260</v>
      </c>
      <c r="K304" s="665">
        <v>35.99</v>
      </c>
      <c r="L304" s="655">
        <f t="shared" si="33"/>
        <v>35.009724923589886</v>
      </c>
      <c r="M304" s="666">
        <v>60</v>
      </c>
      <c r="N304" s="667">
        <f t="shared" si="34"/>
        <v>21</v>
      </c>
      <c r="O304" s="668">
        <f t="shared" ca="1" si="35"/>
        <v>176</v>
      </c>
      <c r="P304" s="655">
        <f t="shared" ca="1" si="36"/>
        <v>-2436</v>
      </c>
      <c r="Q304" s="667">
        <f t="shared" ca="1" si="32"/>
        <v>1</v>
      </c>
      <c r="R304" s="669" t="s">
        <v>320</v>
      </c>
    </row>
    <row r="305" spans="2:18" ht="39.950000000000003" customHeight="1" x14ac:dyDescent="0.25">
      <c r="B305" s="661">
        <v>40023</v>
      </c>
      <c r="C305" s="662" t="s">
        <v>2351</v>
      </c>
      <c r="D305" s="669" t="s">
        <v>522</v>
      </c>
      <c r="E305" s="651" t="s">
        <v>534</v>
      </c>
      <c r="F305" s="663" t="s">
        <v>524</v>
      </c>
      <c r="G305" s="651" t="s">
        <v>28</v>
      </c>
      <c r="H305" s="651" t="s">
        <v>527</v>
      </c>
      <c r="I305" s="651" t="s">
        <v>528</v>
      </c>
      <c r="J305" s="664">
        <v>1260</v>
      </c>
      <c r="K305" s="665">
        <v>35.99</v>
      </c>
      <c r="L305" s="655">
        <f t="shared" si="33"/>
        <v>35.009724923589886</v>
      </c>
      <c r="M305" s="666">
        <v>60</v>
      </c>
      <c r="N305" s="667">
        <f t="shared" si="34"/>
        <v>21</v>
      </c>
      <c r="O305" s="668">
        <f t="shared" ca="1" si="35"/>
        <v>176</v>
      </c>
      <c r="P305" s="655">
        <f t="shared" ca="1" si="36"/>
        <v>-2436</v>
      </c>
      <c r="Q305" s="667">
        <f t="shared" ca="1" si="32"/>
        <v>1</v>
      </c>
      <c r="R305" s="669" t="s">
        <v>320</v>
      </c>
    </row>
    <row r="306" spans="2:18" ht="39.950000000000003" customHeight="1" x14ac:dyDescent="0.25">
      <c r="B306" s="661">
        <v>40023</v>
      </c>
      <c r="C306" s="662" t="s">
        <v>2351</v>
      </c>
      <c r="D306" s="669" t="s">
        <v>522</v>
      </c>
      <c r="E306" s="651" t="s">
        <v>535</v>
      </c>
      <c r="F306" s="663" t="s">
        <v>524</v>
      </c>
      <c r="G306" s="651" t="s">
        <v>28</v>
      </c>
      <c r="H306" s="651" t="s">
        <v>527</v>
      </c>
      <c r="I306" s="651" t="s">
        <v>528</v>
      </c>
      <c r="J306" s="664">
        <v>1260</v>
      </c>
      <c r="K306" s="665">
        <v>35.99</v>
      </c>
      <c r="L306" s="655">
        <f t="shared" si="33"/>
        <v>35.009724923589886</v>
      </c>
      <c r="M306" s="666">
        <v>60</v>
      </c>
      <c r="N306" s="667">
        <f t="shared" si="34"/>
        <v>21</v>
      </c>
      <c r="O306" s="668">
        <f t="shared" ca="1" si="35"/>
        <v>176</v>
      </c>
      <c r="P306" s="655">
        <f t="shared" ca="1" si="36"/>
        <v>-2436</v>
      </c>
      <c r="Q306" s="667">
        <f t="shared" ca="1" si="32"/>
        <v>1</v>
      </c>
      <c r="R306" s="669" t="s">
        <v>320</v>
      </c>
    </row>
    <row r="307" spans="2:18" ht="39.950000000000003" customHeight="1" x14ac:dyDescent="0.25">
      <c r="B307" s="661">
        <v>40023</v>
      </c>
      <c r="C307" s="662" t="s">
        <v>2351</v>
      </c>
      <c r="D307" s="669" t="s">
        <v>522</v>
      </c>
      <c r="E307" s="651" t="s">
        <v>536</v>
      </c>
      <c r="F307" s="663" t="s">
        <v>524</v>
      </c>
      <c r="G307" s="651" t="s">
        <v>28</v>
      </c>
      <c r="H307" s="651" t="s">
        <v>527</v>
      </c>
      <c r="I307" s="651" t="s">
        <v>528</v>
      </c>
      <c r="J307" s="664">
        <v>1260</v>
      </c>
      <c r="K307" s="665">
        <v>35.99</v>
      </c>
      <c r="L307" s="655">
        <f t="shared" si="33"/>
        <v>35.009724923589886</v>
      </c>
      <c r="M307" s="666">
        <v>60</v>
      </c>
      <c r="N307" s="667">
        <f t="shared" si="34"/>
        <v>21</v>
      </c>
      <c r="O307" s="668">
        <f t="shared" ca="1" si="35"/>
        <v>176</v>
      </c>
      <c r="P307" s="655">
        <f t="shared" ca="1" si="36"/>
        <v>-2436</v>
      </c>
      <c r="Q307" s="667">
        <f t="shared" ca="1" si="32"/>
        <v>1</v>
      </c>
      <c r="R307" s="669" t="s">
        <v>320</v>
      </c>
    </row>
    <row r="308" spans="2:18" ht="39.950000000000003" customHeight="1" x14ac:dyDescent="0.25">
      <c r="B308" s="661">
        <v>40023</v>
      </c>
      <c r="C308" s="662" t="s">
        <v>2351</v>
      </c>
      <c r="D308" s="669" t="s">
        <v>522</v>
      </c>
      <c r="E308" s="651" t="s">
        <v>537</v>
      </c>
      <c r="F308" s="663" t="s">
        <v>524</v>
      </c>
      <c r="G308" s="651" t="s">
        <v>28</v>
      </c>
      <c r="H308" s="651" t="s">
        <v>527</v>
      </c>
      <c r="I308" s="651" t="s">
        <v>528</v>
      </c>
      <c r="J308" s="664">
        <v>1260</v>
      </c>
      <c r="K308" s="665">
        <v>35.99</v>
      </c>
      <c r="L308" s="655">
        <f t="shared" si="33"/>
        <v>35.009724923589886</v>
      </c>
      <c r="M308" s="666">
        <v>60</v>
      </c>
      <c r="N308" s="667">
        <f t="shared" si="34"/>
        <v>21</v>
      </c>
      <c r="O308" s="668">
        <f t="shared" ca="1" si="35"/>
        <v>176</v>
      </c>
      <c r="P308" s="655">
        <f t="shared" ca="1" si="36"/>
        <v>-2436</v>
      </c>
      <c r="Q308" s="667">
        <f t="shared" ca="1" si="32"/>
        <v>1</v>
      </c>
      <c r="R308" s="669" t="s">
        <v>320</v>
      </c>
    </row>
    <row r="309" spans="2:18" ht="39.950000000000003" customHeight="1" x14ac:dyDescent="0.25">
      <c r="B309" s="661">
        <v>40023</v>
      </c>
      <c r="C309" s="662" t="s">
        <v>2351</v>
      </c>
      <c r="D309" s="669" t="s">
        <v>522</v>
      </c>
      <c r="E309" s="651" t="s">
        <v>538</v>
      </c>
      <c r="F309" s="663" t="s">
        <v>524</v>
      </c>
      <c r="G309" s="651" t="s">
        <v>28</v>
      </c>
      <c r="H309" s="651" t="s">
        <v>527</v>
      </c>
      <c r="I309" s="651" t="s">
        <v>528</v>
      </c>
      <c r="J309" s="664">
        <v>1260</v>
      </c>
      <c r="K309" s="665">
        <v>35.99</v>
      </c>
      <c r="L309" s="655">
        <f t="shared" si="33"/>
        <v>35.009724923589886</v>
      </c>
      <c r="M309" s="666">
        <v>60</v>
      </c>
      <c r="N309" s="667">
        <f t="shared" si="34"/>
        <v>21</v>
      </c>
      <c r="O309" s="668">
        <f t="shared" ca="1" si="35"/>
        <v>176</v>
      </c>
      <c r="P309" s="655">
        <f t="shared" ca="1" si="36"/>
        <v>-2436</v>
      </c>
      <c r="Q309" s="667">
        <f t="shared" ca="1" si="32"/>
        <v>1</v>
      </c>
      <c r="R309" s="669" t="s">
        <v>320</v>
      </c>
    </row>
    <row r="310" spans="2:18" ht="39.950000000000003" customHeight="1" x14ac:dyDescent="0.25">
      <c r="B310" s="661">
        <v>40023</v>
      </c>
      <c r="C310" s="662" t="s">
        <v>2351</v>
      </c>
      <c r="D310" s="669" t="s">
        <v>522</v>
      </c>
      <c r="E310" s="651" t="s">
        <v>539</v>
      </c>
      <c r="F310" s="663" t="s">
        <v>524</v>
      </c>
      <c r="G310" s="651" t="s">
        <v>28</v>
      </c>
      <c r="H310" s="651" t="s">
        <v>527</v>
      </c>
      <c r="I310" s="651" t="s">
        <v>528</v>
      </c>
      <c r="J310" s="664">
        <v>1260</v>
      </c>
      <c r="K310" s="665">
        <v>35.99</v>
      </c>
      <c r="L310" s="655">
        <f t="shared" si="33"/>
        <v>35.009724923589886</v>
      </c>
      <c r="M310" s="666">
        <v>60</v>
      </c>
      <c r="N310" s="667">
        <f t="shared" si="34"/>
        <v>21</v>
      </c>
      <c r="O310" s="668">
        <f t="shared" ca="1" si="35"/>
        <v>176</v>
      </c>
      <c r="P310" s="655">
        <f t="shared" ca="1" si="36"/>
        <v>-2436</v>
      </c>
      <c r="Q310" s="667">
        <f t="shared" ca="1" si="32"/>
        <v>1</v>
      </c>
      <c r="R310" s="669" t="s">
        <v>320</v>
      </c>
    </row>
    <row r="311" spans="2:18" ht="52.5" customHeight="1" x14ac:dyDescent="0.25">
      <c r="B311" s="661">
        <v>40023</v>
      </c>
      <c r="C311" s="662" t="s">
        <v>2351</v>
      </c>
      <c r="D311" s="669" t="s">
        <v>522</v>
      </c>
      <c r="E311" s="651" t="s">
        <v>542</v>
      </c>
      <c r="F311" s="663" t="s">
        <v>540</v>
      </c>
      <c r="G311" s="651" t="s">
        <v>28</v>
      </c>
      <c r="H311" s="651" t="s">
        <v>543</v>
      </c>
      <c r="I311" s="651" t="s">
        <v>541</v>
      </c>
      <c r="J311" s="664">
        <v>4950</v>
      </c>
      <c r="K311" s="665">
        <v>35.99</v>
      </c>
      <c r="L311" s="655">
        <f t="shared" si="33"/>
        <v>137.53820505696027</v>
      </c>
      <c r="M311" s="666">
        <v>60</v>
      </c>
      <c r="N311" s="667">
        <f t="shared" si="34"/>
        <v>82.5</v>
      </c>
      <c r="O311" s="668">
        <f t="shared" ca="1" si="35"/>
        <v>176</v>
      </c>
      <c r="P311" s="655">
        <f t="shared" ca="1" si="36"/>
        <v>-9570</v>
      </c>
      <c r="Q311" s="667">
        <f t="shared" ca="1" si="32"/>
        <v>1</v>
      </c>
      <c r="R311" s="669" t="s">
        <v>320</v>
      </c>
    </row>
    <row r="312" spans="2:18" ht="39.950000000000003" customHeight="1" x14ac:dyDescent="0.25">
      <c r="B312" s="661">
        <v>40023</v>
      </c>
      <c r="C312" s="662" t="s">
        <v>2351</v>
      </c>
      <c r="D312" s="669" t="s">
        <v>522</v>
      </c>
      <c r="E312" s="651" t="s">
        <v>544</v>
      </c>
      <c r="F312" s="663" t="s">
        <v>307</v>
      </c>
      <c r="G312" s="651" t="s">
        <v>28</v>
      </c>
      <c r="H312" s="651" t="s">
        <v>543</v>
      </c>
      <c r="I312" s="651" t="s">
        <v>541</v>
      </c>
      <c r="J312" s="664">
        <v>9000</v>
      </c>
      <c r="K312" s="665">
        <v>35.99</v>
      </c>
      <c r="L312" s="655">
        <f t="shared" si="33"/>
        <v>250.06946373992776</v>
      </c>
      <c r="M312" s="666">
        <v>60</v>
      </c>
      <c r="N312" s="667">
        <f t="shared" si="34"/>
        <v>150</v>
      </c>
      <c r="O312" s="668">
        <f t="shared" ca="1" si="35"/>
        <v>176</v>
      </c>
      <c r="P312" s="655">
        <f t="shared" ca="1" si="36"/>
        <v>-17400</v>
      </c>
      <c r="Q312" s="667">
        <f t="shared" ca="1" si="32"/>
        <v>1</v>
      </c>
      <c r="R312" s="669" t="s">
        <v>320</v>
      </c>
    </row>
    <row r="313" spans="2:18" ht="39.950000000000003" customHeight="1" x14ac:dyDescent="0.25">
      <c r="B313" s="661">
        <v>40023</v>
      </c>
      <c r="C313" s="662" t="s">
        <v>2351</v>
      </c>
      <c r="D313" s="669" t="s">
        <v>522</v>
      </c>
      <c r="E313" s="651" t="s">
        <v>545</v>
      </c>
      <c r="F313" s="663" t="s">
        <v>307</v>
      </c>
      <c r="G313" s="651" t="s">
        <v>28</v>
      </c>
      <c r="H313" s="651" t="s">
        <v>543</v>
      </c>
      <c r="I313" s="651" t="s">
        <v>541</v>
      </c>
      <c r="J313" s="664">
        <v>9000</v>
      </c>
      <c r="K313" s="665">
        <v>35.99</v>
      </c>
      <c r="L313" s="655">
        <f t="shared" si="33"/>
        <v>250.06946373992776</v>
      </c>
      <c r="M313" s="666">
        <v>60</v>
      </c>
      <c r="N313" s="667">
        <f t="shared" si="34"/>
        <v>150</v>
      </c>
      <c r="O313" s="668">
        <f t="shared" ca="1" si="35"/>
        <v>176</v>
      </c>
      <c r="P313" s="655">
        <f t="shared" ca="1" si="36"/>
        <v>-17400</v>
      </c>
      <c r="Q313" s="667">
        <f t="shared" ca="1" si="32"/>
        <v>1</v>
      </c>
      <c r="R313" s="669" t="s">
        <v>320</v>
      </c>
    </row>
    <row r="314" spans="2:18" ht="39.950000000000003" customHeight="1" x14ac:dyDescent="0.25">
      <c r="B314" s="661">
        <v>40023</v>
      </c>
      <c r="C314" s="662" t="s">
        <v>2351</v>
      </c>
      <c r="D314" s="669" t="s">
        <v>522</v>
      </c>
      <c r="E314" s="651" t="s">
        <v>546</v>
      </c>
      <c r="F314" s="663" t="s">
        <v>373</v>
      </c>
      <c r="G314" s="651" t="s">
        <v>28</v>
      </c>
      <c r="H314" s="651" t="s">
        <v>543</v>
      </c>
      <c r="I314" s="651" t="s">
        <v>541</v>
      </c>
      <c r="J314" s="664">
        <v>4135</v>
      </c>
      <c r="K314" s="665">
        <v>35.99</v>
      </c>
      <c r="L314" s="655">
        <f t="shared" si="33"/>
        <v>114.89302584051124</v>
      </c>
      <c r="M314" s="666">
        <v>60</v>
      </c>
      <c r="N314" s="667">
        <f t="shared" si="34"/>
        <v>68.916666666666671</v>
      </c>
      <c r="O314" s="668">
        <f t="shared" ca="1" si="35"/>
        <v>176</v>
      </c>
      <c r="P314" s="655">
        <f t="shared" ca="1" si="36"/>
        <v>-7994.3333333333339</v>
      </c>
      <c r="Q314" s="667">
        <f t="shared" ca="1" si="32"/>
        <v>1</v>
      </c>
      <c r="R314" s="669" t="s">
        <v>320</v>
      </c>
    </row>
    <row r="315" spans="2:18" ht="39.950000000000003" customHeight="1" x14ac:dyDescent="0.25">
      <c r="B315" s="661">
        <v>40023</v>
      </c>
      <c r="C315" s="662" t="s">
        <v>2351</v>
      </c>
      <c r="D315" s="669" t="s">
        <v>522</v>
      </c>
      <c r="E315" s="651" t="s">
        <v>547</v>
      </c>
      <c r="F315" s="663" t="s">
        <v>466</v>
      </c>
      <c r="G315" s="651" t="s">
        <v>28</v>
      </c>
      <c r="H315" s="651" t="s">
        <v>543</v>
      </c>
      <c r="I315" s="651" t="s">
        <v>541</v>
      </c>
      <c r="J315" s="664">
        <v>13500</v>
      </c>
      <c r="K315" s="665">
        <v>35.99</v>
      </c>
      <c r="L315" s="655">
        <f t="shared" si="33"/>
        <v>375.10419560989163</v>
      </c>
      <c r="M315" s="666">
        <v>60</v>
      </c>
      <c r="N315" s="667">
        <f t="shared" si="34"/>
        <v>225</v>
      </c>
      <c r="O315" s="668">
        <f t="shared" ca="1" si="35"/>
        <v>176</v>
      </c>
      <c r="P315" s="655">
        <f t="shared" ca="1" si="36"/>
        <v>-26100</v>
      </c>
      <c r="Q315" s="667">
        <f t="shared" ca="1" si="32"/>
        <v>1</v>
      </c>
      <c r="R315" s="669" t="s">
        <v>320</v>
      </c>
    </row>
    <row r="316" spans="2:18" ht="39.950000000000003" customHeight="1" x14ac:dyDescent="0.25">
      <c r="B316" s="661">
        <v>40023</v>
      </c>
      <c r="C316" s="662" t="s">
        <v>2351</v>
      </c>
      <c r="D316" s="669" t="s">
        <v>522</v>
      </c>
      <c r="E316" s="651" t="s">
        <v>548</v>
      </c>
      <c r="F316" s="663" t="s">
        <v>549</v>
      </c>
      <c r="G316" s="651" t="s">
        <v>28</v>
      </c>
      <c r="H316" s="651" t="s">
        <v>543</v>
      </c>
      <c r="I316" s="651" t="s">
        <v>541</v>
      </c>
      <c r="J316" s="664">
        <v>10700</v>
      </c>
      <c r="K316" s="665">
        <v>35.99</v>
      </c>
      <c r="L316" s="655">
        <f t="shared" si="33"/>
        <v>297.30480689080298</v>
      </c>
      <c r="M316" s="666">
        <v>60</v>
      </c>
      <c r="N316" s="667">
        <f t="shared" si="34"/>
        <v>178.33333333333334</v>
      </c>
      <c r="O316" s="668">
        <f t="shared" ca="1" si="35"/>
        <v>176</v>
      </c>
      <c r="P316" s="655">
        <f t="shared" ca="1" si="36"/>
        <v>-20686.666666666668</v>
      </c>
      <c r="Q316" s="667">
        <f t="shared" ca="1" si="32"/>
        <v>1</v>
      </c>
      <c r="R316" s="669" t="s">
        <v>320</v>
      </c>
    </row>
    <row r="317" spans="2:18" ht="39.950000000000003" customHeight="1" x14ac:dyDescent="0.25">
      <c r="B317" s="661">
        <v>40023</v>
      </c>
      <c r="C317" s="662" t="s">
        <v>2351</v>
      </c>
      <c r="D317" s="669" t="s">
        <v>522</v>
      </c>
      <c r="E317" s="651" t="s">
        <v>550</v>
      </c>
      <c r="F317" s="663" t="s">
        <v>406</v>
      </c>
      <c r="G317" s="651" t="s">
        <v>28</v>
      </c>
      <c r="H317" s="651" t="s">
        <v>543</v>
      </c>
      <c r="I317" s="651" t="s">
        <v>541</v>
      </c>
      <c r="J317" s="664">
        <v>5440</v>
      </c>
      <c r="K317" s="665">
        <v>35.99</v>
      </c>
      <c r="L317" s="655">
        <f t="shared" si="33"/>
        <v>151.15309808280077</v>
      </c>
      <c r="M317" s="666">
        <v>60</v>
      </c>
      <c r="N317" s="667">
        <f t="shared" si="34"/>
        <v>90.666666666666671</v>
      </c>
      <c r="O317" s="668">
        <f t="shared" ca="1" si="35"/>
        <v>176</v>
      </c>
      <c r="P317" s="655">
        <f t="shared" ca="1" si="36"/>
        <v>-10517.333333333334</v>
      </c>
      <c r="Q317" s="667">
        <f t="shared" ca="1" si="32"/>
        <v>1</v>
      </c>
      <c r="R317" s="669" t="s">
        <v>320</v>
      </c>
    </row>
    <row r="318" spans="2:18" ht="39.950000000000003" customHeight="1" x14ac:dyDescent="0.25">
      <c r="B318" s="661">
        <v>40023</v>
      </c>
      <c r="C318" s="662" t="s">
        <v>2351</v>
      </c>
      <c r="D318" s="669" t="s">
        <v>522</v>
      </c>
      <c r="E318" s="651" t="s">
        <v>551</v>
      </c>
      <c r="F318" s="663" t="s">
        <v>408</v>
      </c>
      <c r="G318" s="651" t="s">
        <v>28</v>
      </c>
      <c r="H318" s="651" t="s">
        <v>543</v>
      </c>
      <c r="I318" s="651" t="s">
        <v>541</v>
      </c>
      <c r="J318" s="664">
        <v>5060</v>
      </c>
      <c r="K318" s="665">
        <v>35.99</v>
      </c>
      <c r="L318" s="655">
        <f t="shared" si="33"/>
        <v>140.59460961378159</v>
      </c>
      <c r="M318" s="666">
        <v>60</v>
      </c>
      <c r="N318" s="667">
        <f t="shared" si="34"/>
        <v>84.333333333333329</v>
      </c>
      <c r="O318" s="668">
        <f t="shared" ca="1" si="35"/>
        <v>176</v>
      </c>
      <c r="P318" s="655">
        <f t="shared" ca="1" si="36"/>
        <v>-9782.6666666666661</v>
      </c>
      <c r="Q318" s="667">
        <f t="shared" ca="1" si="32"/>
        <v>1</v>
      </c>
      <c r="R318" s="669" t="s">
        <v>320</v>
      </c>
    </row>
    <row r="319" spans="2:18" ht="39.950000000000003" customHeight="1" x14ac:dyDescent="0.25">
      <c r="B319" s="661">
        <v>40023</v>
      </c>
      <c r="C319" s="662" t="s">
        <v>2351</v>
      </c>
      <c r="D319" s="669" t="s">
        <v>522</v>
      </c>
      <c r="E319" s="651" t="s">
        <v>552</v>
      </c>
      <c r="F319" s="663" t="s">
        <v>524</v>
      </c>
      <c r="G319" s="651" t="s">
        <v>28</v>
      </c>
      <c r="H319" s="651" t="s">
        <v>543</v>
      </c>
      <c r="I319" s="651" t="s">
        <v>541</v>
      </c>
      <c r="J319" s="664">
        <v>1260</v>
      </c>
      <c r="K319" s="665">
        <v>35.99</v>
      </c>
      <c r="L319" s="655">
        <f t="shared" si="33"/>
        <v>35.009724923589886</v>
      </c>
      <c r="M319" s="666">
        <v>60</v>
      </c>
      <c r="N319" s="667">
        <f t="shared" si="34"/>
        <v>21</v>
      </c>
      <c r="O319" s="668">
        <f t="shared" ca="1" si="35"/>
        <v>176</v>
      </c>
      <c r="P319" s="655">
        <f t="shared" ca="1" si="36"/>
        <v>-2436</v>
      </c>
      <c r="Q319" s="667">
        <f t="shared" ca="1" si="32"/>
        <v>1</v>
      </c>
      <c r="R319" s="669" t="s">
        <v>320</v>
      </c>
    </row>
    <row r="320" spans="2:18" ht="39.950000000000003" customHeight="1" x14ac:dyDescent="0.25">
      <c r="B320" s="661">
        <v>40023</v>
      </c>
      <c r="C320" s="662" t="s">
        <v>2351</v>
      </c>
      <c r="D320" s="669" t="s">
        <v>522</v>
      </c>
      <c r="E320" s="651" t="s">
        <v>553</v>
      </c>
      <c r="F320" s="663" t="s">
        <v>524</v>
      </c>
      <c r="G320" s="651" t="s">
        <v>28</v>
      </c>
      <c r="H320" s="651" t="s">
        <v>543</v>
      </c>
      <c r="I320" s="651" t="s">
        <v>541</v>
      </c>
      <c r="J320" s="664">
        <v>1260</v>
      </c>
      <c r="K320" s="665">
        <v>35.99</v>
      </c>
      <c r="L320" s="655">
        <f t="shared" si="33"/>
        <v>35.009724923589886</v>
      </c>
      <c r="M320" s="666">
        <v>60</v>
      </c>
      <c r="N320" s="667">
        <f t="shared" si="34"/>
        <v>21</v>
      </c>
      <c r="O320" s="668">
        <f t="shared" ca="1" si="35"/>
        <v>176</v>
      </c>
      <c r="P320" s="655">
        <f t="shared" ca="1" si="36"/>
        <v>-2436</v>
      </c>
      <c r="Q320" s="667">
        <f t="shared" ca="1" si="32"/>
        <v>1</v>
      </c>
      <c r="R320" s="669" t="s">
        <v>320</v>
      </c>
    </row>
    <row r="321" spans="2:18" ht="39.950000000000003" customHeight="1" x14ac:dyDescent="0.25">
      <c r="B321" s="661">
        <v>40023</v>
      </c>
      <c r="C321" s="662" t="s">
        <v>2351</v>
      </c>
      <c r="D321" s="669" t="s">
        <v>522</v>
      </c>
      <c r="E321" s="651" t="s">
        <v>554</v>
      </c>
      <c r="F321" s="663" t="s">
        <v>524</v>
      </c>
      <c r="G321" s="651" t="s">
        <v>28</v>
      </c>
      <c r="H321" s="651" t="s">
        <v>543</v>
      </c>
      <c r="I321" s="651" t="s">
        <v>541</v>
      </c>
      <c r="J321" s="664">
        <v>1260</v>
      </c>
      <c r="K321" s="665">
        <v>35.99</v>
      </c>
      <c r="L321" s="655">
        <f t="shared" si="33"/>
        <v>35.009724923589886</v>
      </c>
      <c r="M321" s="666">
        <v>60</v>
      </c>
      <c r="N321" s="667">
        <f t="shared" si="34"/>
        <v>21</v>
      </c>
      <c r="O321" s="668">
        <f t="shared" ca="1" si="35"/>
        <v>176</v>
      </c>
      <c r="P321" s="655">
        <f t="shared" ca="1" si="36"/>
        <v>-2436</v>
      </c>
      <c r="Q321" s="667">
        <f t="shared" ca="1" si="32"/>
        <v>1</v>
      </c>
      <c r="R321" s="669" t="s">
        <v>320</v>
      </c>
    </row>
    <row r="322" spans="2:18" ht="39.950000000000003" customHeight="1" x14ac:dyDescent="0.25">
      <c r="B322" s="661">
        <v>40023</v>
      </c>
      <c r="C322" s="662" t="s">
        <v>2351</v>
      </c>
      <c r="D322" s="669" t="s">
        <v>522</v>
      </c>
      <c r="E322" s="651" t="s">
        <v>555</v>
      </c>
      <c r="F322" s="663" t="s">
        <v>524</v>
      </c>
      <c r="G322" s="651" t="s">
        <v>28</v>
      </c>
      <c r="H322" s="651" t="s">
        <v>543</v>
      </c>
      <c r="I322" s="651" t="s">
        <v>541</v>
      </c>
      <c r="J322" s="664">
        <v>1260</v>
      </c>
      <c r="K322" s="665">
        <v>35.99</v>
      </c>
      <c r="L322" s="655">
        <f t="shared" ref="L322:L371" si="37">+J322/K322</f>
        <v>35.009724923589886</v>
      </c>
      <c r="M322" s="666">
        <v>60</v>
      </c>
      <c r="N322" s="667">
        <f t="shared" ref="N322:N371" si="38">IF(AND(J322&lt;&gt;0,M322&lt;&gt;0),J322/M322,0)</f>
        <v>21</v>
      </c>
      <c r="O322" s="668">
        <f t="shared" ref="O322:O371" ca="1" si="39">IF(B322&lt;&gt;0,(ROUND((NOW()-B322)/30,0)),0)</f>
        <v>176</v>
      </c>
      <c r="P322" s="655">
        <f t="shared" ca="1" si="36"/>
        <v>-2436</v>
      </c>
      <c r="Q322" s="667">
        <f t="shared" ca="1" si="32"/>
        <v>1</v>
      </c>
      <c r="R322" s="669" t="s">
        <v>320</v>
      </c>
    </row>
    <row r="323" spans="2:18" ht="39.950000000000003" customHeight="1" x14ac:dyDescent="0.25">
      <c r="B323" s="661">
        <v>40023</v>
      </c>
      <c r="C323" s="662" t="s">
        <v>2351</v>
      </c>
      <c r="D323" s="669" t="s">
        <v>522</v>
      </c>
      <c r="E323" s="651" t="s">
        <v>556</v>
      </c>
      <c r="F323" s="663" t="s">
        <v>557</v>
      </c>
      <c r="G323" s="651" t="s">
        <v>28</v>
      </c>
      <c r="H323" s="651" t="s">
        <v>543</v>
      </c>
      <c r="I323" s="651" t="s">
        <v>541</v>
      </c>
      <c r="J323" s="664">
        <v>3200</v>
      </c>
      <c r="K323" s="665">
        <v>35.99</v>
      </c>
      <c r="L323" s="655">
        <f t="shared" si="37"/>
        <v>88.913587107529864</v>
      </c>
      <c r="M323" s="666">
        <v>60</v>
      </c>
      <c r="N323" s="667">
        <f t="shared" si="38"/>
        <v>53.333333333333336</v>
      </c>
      <c r="O323" s="668">
        <f t="shared" ca="1" si="39"/>
        <v>176</v>
      </c>
      <c r="P323" s="655">
        <f t="shared" ref="P323:P372" ca="1" si="40">IF(OR(J323=0,M323=0,O323=0),0,J323-(N323*O323))</f>
        <v>-6186.6666666666679</v>
      </c>
      <c r="Q323" s="667">
        <f t="shared" ca="1" si="32"/>
        <v>1</v>
      </c>
      <c r="R323" s="669" t="s">
        <v>320</v>
      </c>
    </row>
    <row r="324" spans="2:18" ht="39.950000000000003" customHeight="1" x14ac:dyDescent="0.25">
      <c r="B324" s="661">
        <v>40023</v>
      </c>
      <c r="C324" s="662" t="s">
        <v>2351</v>
      </c>
      <c r="D324" s="669" t="s">
        <v>522</v>
      </c>
      <c r="E324" s="651" t="s">
        <v>558</v>
      </c>
      <c r="F324" s="663" t="s">
        <v>559</v>
      </c>
      <c r="G324" s="651" t="s">
        <v>28</v>
      </c>
      <c r="H324" s="651" t="s">
        <v>543</v>
      </c>
      <c r="I324" s="651" t="s">
        <v>541</v>
      </c>
      <c r="J324" s="664">
        <v>14500</v>
      </c>
      <c r="K324" s="665">
        <v>35.99</v>
      </c>
      <c r="L324" s="655">
        <f t="shared" si="37"/>
        <v>402.88969158099468</v>
      </c>
      <c r="M324" s="666">
        <v>60</v>
      </c>
      <c r="N324" s="667">
        <f t="shared" si="38"/>
        <v>241.66666666666666</v>
      </c>
      <c r="O324" s="668">
        <f t="shared" ca="1" si="39"/>
        <v>176</v>
      </c>
      <c r="P324" s="655">
        <f t="shared" ca="1" si="40"/>
        <v>-28033.333333333328</v>
      </c>
      <c r="Q324" s="667">
        <f t="shared" ca="1" si="32"/>
        <v>1</v>
      </c>
      <c r="R324" s="669" t="s">
        <v>320</v>
      </c>
    </row>
    <row r="325" spans="2:18" ht="39.950000000000003" customHeight="1" x14ac:dyDescent="0.25">
      <c r="B325" s="661">
        <v>40023</v>
      </c>
      <c r="C325" s="662" t="s">
        <v>2351</v>
      </c>
      <c r="D325" s="669" t="s">
        <v>522</v>
      </c>
      <c r="E325" s="651" t="s">
        <v>560</v>
      </c>
      <c r="F325" s="663" t="s">
        <v>561</v>
      </c>
      <c r="G325" s="651" t="s">
        <v>28</v>
      </c>
      <c r="H325" s="651" t="s">
        <v>4415</v>
      </c>
      <c r="I325" s="651" t="s">
        <v>562</v>
      </c>
      <c r="J325" s="664">
        <v>18500</v>
      </c>
      <c r="K325" s="665">
        <v>35.99</v>
      </c>
      <c r="L325" s="655">
        <f t="shared" si="37"/>
        <v>514.03167546540703</v>
      </c>
      <c r="M325" s="666">
        <v>60</v>
      </c>
      <c r="N325" s="667">
        <f t="shared" si="38"/>
        <v>308.33333333333331</v>
      </c>
      <c r="O325" s="668">
        <f t="shared" ca="1" si="39"/>
        <v>176</v>
      </c>
      <c r="P325" s="655">
        <f t="shared" ca="1" si="40"/>
        <v>-35766.666666666664</v>
      </c>
      <c r="Q325" s="667">
        <f t="shared" ca="1" si="32"/>
        <v>1</v>
      </c>
      <c r="R325" s="669" t="s">
        <v>320</v>
      </c>
    </row>
    <row r="326" spans="2:18" ht="39.950000000000003" customHeight="1" x14ac:dyDescent="0.25">
      <c r="B326" s="661">
        <v>40023</v>
      </c>
      <c r="C326" s="662" t="s">
        <v>2351</v>
      </c>
      <c r="D326" s="669" t="s">
        <v>522</v>
      </c>
      <c r="E326" s="651" t="s">
        <v>563</v>
      </c>
      <c r="F326" s="663" t="s">
        <v>307</v>
      </c>
      <c r="G326" s="651" t="s">
        <v>28</v>
      </c>
      <c r="H326" s="651" t="s">
        <v>4415</v>
      </c>
      <c r="I326" s="651" t="s">
        <v>562</v>
      </c>
      <c r="J326" s="664">
        <v>9000</v>
      </c>
      <c r="K326" s="665">
        <v>35.99</v>
      </c>
      <c r="L326" s="655">
        <f t="shared" si="37"/>
        <v>250.06946373992776</v>
      </c>
      <c r="M326" s="666">
        <v>60</v>
      </c>
      <c r="N326" s="667">
        <f t="shared" si="38"/>
        <v>150</v>
      </c>
      <c r="O326" s="668">
        <f t="shared" ca="1" si="39"/>
        <v>176</v>
      </c>
      <c r="P326" s="655">
        <f t="shared" ca="1" si="40"/>
        <v>-17400</v>
      </c>
      <c r="Q326" s="667">
        <f t="shared" ca="1" si="32"/>
        <v>1</v>
      </c>
      <c r="R326" s="669" t="s">
        <v>320</v>
      </c>
    </row>
    <row r="327" spans="2:18" ht="39.950000000000003" customHeight="1" x14ac:dyDescent="0.25">
      <c r="B327" s="661">
        <v>40023</v>
      </c>
      <c r="C327" s="662" t="s">
        <v>2351</v>
      </c>
      <c r="D327" s="669" t="s">
        <v>522</v>
      </c>
      <c r="E327" s="651" t="s">
        <v>564</v>
      </c>
      <c r="F327" s="663" t="s">
        <v>307</v>
      </c>
      <c r="G327" s="651" t="s">
        <v>28</v>
      </c>
      <c r="H327" s="651" t="s">
        <v>4415</v>
      </c>
      <c r="I327" s="651" t="s">
        <v>562</v>
      </c>
      <c r="J327" s="664">
        <v>9000</v>
      </c>
      <c r="K327" s="665">
        <v>35.99</v>
      </c>
      <c r="L327" s="655">
        <f t="shared" si="37"/>
        <v>250.06946373992776</v>
      </c>
      <c r="M327" s="666">
        <v>60</v>
      </c>
      <c r="N327" s="667">
        <f t="shared" si="38"/>
        <v>150</v>
      </c>
      <c r="O327" s="668">
        <f t="shared" ca="1" si="39"/>
        <v>176</v>
      </c>
      <c r="P327" s="655">
        <f t="shared" ca="1" si="40"/>
        <v>-17400</v>
      </c>
      <c r="Q327" s="667">
        <f t="shared" ca="1" si="32"/>
        <v>1</v>
      </c>
      <c r="R327" s="669" t="s">
        <v>320</v>
      </c>
    </row>
    <row r="328" spans="2:18" ht="39.950000000000003" customHeight="1" x14ac:dyDescent="0.25">
      <c r="B328" s="661">
        <v>40023</v>
      </c>
      <c r="C328" s="662" t="s">
        <v>2351</v>
      </c>
      <c r="D328" s="669" t="s">
        <v>522</v>
      </c>
      <c r="E328" s="651" t="s">
        <v>566</v>
      </c>
      <c r="F328" s="663" t="s">
        <v>523</v>
      </c>
      <c r="G328" s="651" t="s">
        <v>28</v>
      </c>
      <c r="H328" s="651" t="s">
        <v>4415</v>
      </c>
      <c r="I328" s="651" t="s">
        <v>562</v>
      </c>
      <c r="J328" s="664">
        <v>16905</v>
      </c>
      <c r="K328" s="665">
        <v>35.99</v>
      </c>
      <c r="L328" s="655">
        <f t="shared" si="37"/>
        <v>469.71380939149759</v>
      </c>
      <c r="M328" s="666">
        <v>60</v>
      </c>
      <c r="N328" s="667">
        <f t="shared" si="38"/>
        <v>281.75</v>
      </c>
      <c r="O328" s="668">
        <f t="shared" ca="1" si="39"/>
        <v>176</v>
      </c>
      <c r="P328" s="655">
        <f t="shared" ca="1" si="40"/>
        <v>-32683</v>
      </c>
      <c r="Q328" s="667">
        <f t="shared" ref="Q328:Q391" ca="1" si="41">IF(P328&lt;1,1,P328)</f>
        <v>1</v>
      </c>
      <c r="R328" s="669" t="s">
        <v>320</v>
      </c>
    </row>
    <row r="329" spans="2:18" ht="39.950000000000003" customHeight="1" x14ac:dyDescent="0.25">
      <c r="B329" s="661">
        <v>40023</v>
      </c>
      <c r="C329" s="662" t="s">
        <v>2351</v>
      </c>
      <c r="D329" s="669" t="s">
        <v>522</v>
      </c>
      <c r="E329" s="651" t="s">
        <v>567</v>
      </c>
      <c r="F329" s="663" t="s">
        <v>408</v>
      </c>
      <c r="G329" s="651" t="s">
        <v>28</v>
      </c>
      <c r="H329" s="651" t="s">
        <v>4415</v>
      </c>
      <c r="I329" s="651" t="s">
        <v>562</v>
      </c>
      <c r="J329" s="664">
        <v>5060</v>
      </c>
      <c r="K329" s="665">
        <v>35.99</v>
      </c>
      <c r="L329" s="655">
        <f t="shared" si="37"/>
        <v>140.59460961378159</v>
      </c>
      <c r="M329" s="666">
        <v>60</v>
      </c>
      <c r="N329" s="667">
        <f t="shared" si="38"/>
        <v>84.333333333333329</v>
      </c>
      <c r="O329" s="668">
        <f t="shared" ca="1" si="39"/>
        <v>176</v>
      </c>
      <c r="P329" s="655">
        <f t="shared" ca="1" si="40"/>
        <v>-9782.6666666666661</v>
      </c>
      <c r="Q329" s="667">
        <f t="shared" ca="1" si="41"/>
        <v>1</v>
      </c>
      <c r="R329" s="669" t="s">
        <v>320</v>
      </c>
    </row>
    <row r="330" spans="2:18" ht="39.950000000000003" customHeight="1" x14ac:dyDescent="0.25">
      <c r="B330" s="661">
        <v>40023</v>
      </c>
      <c r="C330" s="662" t="s">
        <v>2351</v>
      </c>
      <c r="D330" s="669" t="s">
        <v>522</v>
      </c>
      <c r="E330" s="651" t="s">
        <v>568</v>
      </c>
      <c r="F330" s="663" t="s">
        <v>524</v>
      </c>
      <c r="G330" s="651" t="s">
        <v>28</v>
      </c>
      <c r="H330" s="651" t="s">
        <v>4415</v>
      </c>
      <c r="I330" s="651" t="s">
        <v>562</v>
      </c>
      <c r="J330" s="664">
        <v>1260</v>
      </c>
      <c r="K330" s="665">
        <v>35.99</v>
      </c>
      <c r="L330" s="655">
        <f t="shared" si="37"/>
        <v>35.009724923589886</v>
      </c>
      <c r="M330" s="666">
        <v>60</v>
      </c>
      <c r="N330" s="667">
        <f t="shared" si="38"/>
        <v>21</v>
      </c>
      <c r="O330" s="668">
        <f t="shared" ca="1" si="39"/>
        <v>176</v>
      </c>
      <c r="P330" s="655">
        <f t="shared" ca="1" si="40"/>
        <v>-2436</v>
      </c>
      <c r="Q330" s="667">
        <f t="shared" ca="1" si="41"/>
        <v>1</v>
      </c>
      <c r="R330" s="669" t="s">
        <v>320</v>
      </c>
    </row>
    <row r="331" spans="2:18" ht="39.950000000000003" customHeight="1" x14ac:dyDescent="0.25">
      <c r="B331" s="661">
        <v>40023</v>
      </c>
      <c r="C331" s="662" t="s">
        <v>2351</v>
      </c>
      <c r="D331" s="669" t="s">
        <v>522</v>
      </c>
      <c r="E331" s="651" t="s">
        <v>569</v>
      </c>
      <c r="F331" s="663" t="s">
        <v>524</v>
      </c>
      <c r="G331" s="651" t="s">
        <v>28</v>
      </c>
      <c r="H331" s="651" t="s">
        <v>4415</v>
      </c>
      <c r="I331" s="651" t="s">
        <v>562</v>
      </c>
      <c r="J331" s="664">
        <v>1260</v>
      </c>
      <c r="K331" s="665">
        <v>35.99</v>
      </c>
      <c r="L331" s="655">
        <f t="shared" si="37"/>
        <v>35.009724923589886</v>
      </c>
      <c r="M331" s="666">
        <v>60</v>
      </c>
      <c r="N331" s="667">
        <f t="shared" si="38"/>
        <v>21</v>
      </c>
      <c r="O331" s="668">
        <f t="shared" ca="1" si="39"/>
        <v>176</v>
      </c>
      <c r="P331" s="655">
        <f t="shared" ca="1" si="40"/>
        <v>-2436</v>
      </c>
      <c r="Q331" s="667">
        <f t="shared" ca="1" si="41"/>
        <v>1</v>
      </c>
      <c r="R331" s="669" t="s">
        <v>320</v>
      </c>
    </row>
    <row r="332" spans="2:18" ht="39.950000000000003" customHeight="1" x14ac:dyDescent="0.25">
      <c r="B332" s="661">
        <v>40023</v>
      </c>
      <c r="C332" s="662" t="s">
        <v>2351</v>
      </c>
      <c r="D332" s="669" t="s">
        <v>522</v>
      </c>
      <c r="E332" s="651" t="s">
        <v>570</v>
      </c>
      <c r="F332" s="663" t="s">
        <v>524</v>
      </c>
      <c r="G332" s="651" t="s">
        <v>28</v>
      </c>
      <c r="H332" s="651" t="s">
        <v>4415</v>
      </c>
      <c r="I332" s="651" t="s">
        <v>562</v>
      </c>
      <c r="J332" s="664">
        <v>1260</v>
      </c>
      <c r="K332" s="665">
        <v>35.99</v>
      </c>
      <c r="L332" s="655">
        <f t="shared" si="37"/>
        <v>35.009724923589886</v>
      </c>
      <c r="M332" s="666">
        <v>60</v>
      </c>
      <c r="N332" s="667">
        <f t="shared" si="38"/>
        <v>21</v>
      </c>
      <c r="O332" s="668">
        <f t="shared" ca="1" si="39"/>
        <v>176</v>
      </c>
      <c r="P332" s="655">
        <f t="shared" ca="1" si="40"/>
        <v>-2436</v>
      </c>
      <c r="Q332" s="667">
        <f t="shared" ca="1" si="41"/>
        <v>1</v>
      </c>
      <c r="R332" s="669" t="s">
        <v>320</v>
      </c>
    </row>
    <row r="333" spans="2:18" ht="39.950000000000003" customHeight="1" x14ac:dyDescent="0.25">
      <c r="B333" s="661">
        <v>40028</v>
      </c>
      <c r="C333" s="662" t="s">
        <v>2351</v>
      </c>
      <c r="D333" s="669" t="s">
        <v>571</v>
      </c>
      <c r="E333" s="651" t="s">
        <v>572</v>
      </c>
      <c r="F333" s="663" t="s">
        <v>573</v>
      </c>
      <c r="G333" s="651" t="s">
        <v>574</v>
      </c>
      <c r="H333" s="651" t="s">
        <v>467</v>
      </c>
      <c r="I333" s="651" t="s">
        <v>468</v>
      </c>
      <c r="J333" s="664">
        <v>32069.14</v>
      </c>
      <c r="K333" s="665">
        <v>36.1</v>
      </c>
      <c r="L333" s="655">
        <f t="shared" si="37"/>
        <v>888.34182825484754</v>
      </c>
      <c r="M333" s="666">
        <v>60</v>
      </c>
      <c r="N333" s="667">
        <f t="shared" si="38"/>
        <v>534.4856666666667</v>
      </c>
      <c r="O333" s="668">
        <f t="shared" ca="1" si="39"/>
        <v>176</v>
      </c>
      <c r="P333" s="655">
        <f t="shared" ca="1" si="40"/>
        <v>-62000.337333333344</v>
      </c>
      <c r="Q333" s="667">
        <f t="shared" ca="1" si="41"/>
        <v>1</v>
      </c>
      <c r="R333" s="669" t="s">
        <v>370</v>
      </c>
    </row>
    <row r="334" spans="2:18" ht="39.950000000000003" customHeight="1" x14ac:dyDescent="0.25">
      <c r="B334" s="661">
        <v>40028</v>
      </c>
      <c r="C334" s="662" t="s">
        <v>2351</v>
      </c>
      <c r="D334" s="669" t="s">
        <v>571</v>
      </c>
      <c r="E334" s="651" t="s">
        <v>575</v>
      </c>
      <c r="F334" s="663" t="s">
        <v>576</v>
      </c>
      <c r="G334" s="651" t="s">
        <v>577</v>
      </c>
      <c r="H334" s="651" t="s">
        <v>467</v>
      </c>
      <c r="I334" s="651" t="s">
        <v>468</v>
      </c>
      <c r="J334" s="664">
        <v>3060.34</v>
      </c>
      <c r="K334" s="665">
        <v>36.1</v>
      </c>
      <c r="L334" s="655">
        <f t="shared" si="37"/>
        <v>84.773961218836561</v>
      </c>
      <c r="M334" s="666">
        <v>60</v>
      </c>
      <c r="N334" s="667">
        <f t="shared" si="38"/>
        <v>51.00566666666667</v>
      </c>
      <c r="O334" s="668">
        <f t="shared" ca="1" si="39"/>
        <v>176</v>
      </c>
      <c r="P334" s="655">
        <f t="shared" ca="1" si="40"/>
        <v>-5916.6573333333345</v>
      </c>
      <c r="Q334" s="667">
        <f t="shared" ca="1" si="41"/>
        <v>1</v>
      </c>
      <c r="R334" s="669" t="s">
        <v>370</v>
      </c>
    </row>
    <row r="335" spans="2:18" ht="39.950000000000003" customHeight="1" x14ac:dyDescent="0.25">
      <c r="B335" s="661">
        <v>40028</v>
      </c>
      <c r="C335" s="662" t="s">
        <v>2351</v>
      </c>
      <c r="D335" s="669" t="s">
        <v>571</v>
      </c>
      <c r="E335" s="651" t="s">
        <v>578</v>
      </c>
      <c r="F335" s="663" t="s">
        <v>573</v>
      </c>
      <c r="G335" s="651" t="s">
        <v>579</v>
      </c>
      <c r="H335" s="651" t="s">
        <v>488</v>
      </c>
      <c r="I335" s="651" t="s">
        <v>489</v>
      </c>
      <c r="J335" s="664">
        <v>32069.14</v>
      </c>
      <c r="K335" s="665">
        <v>36.1</v>
      </c>
      <c r="L335" s="655">
        <f t="shared" si="37"/>
        <v>888.34182825484754</v>
      </c>
      <c r="M335" s="666">
        <v>60</v>
      </c>
      <c r="N335" s="667">
        <f t="shared" si="38"/>
        <v>534.4856666666667</v>
      </c>
      <c r="O335" s="668">
        <f t="shared" ca="1" si="39"/>
        <v>176</v>
      </c>
      <c r="P335" s="655">
        <f t="shared" ca="1" si="40"/>
        <v>-62000.337333333344</v>
      </c>
      <c r="Q335" s="667">
        <f t="shared" ca="1" si="41"/>
        <v>1</v>
      </c>
      <c r="R335" s="669" t="s">
        <v>370</v>
      </c>
    </row>
    <row r="336" spans="2:18" ht="39.950000000000003" customHeight="1" x14ac:dyDescent="0.25">
      <c r="B336" s="661">
        <v>40028</v>
      </c>
      <c r="C336" s="662" t="s">
        <v>2351</v>
      </c>
      <c r="D336" s="669" t="s">
        <v>571</v>
      </c>
      <c r="E336" s="651" t="s">
        <v>580</v>
      </c>
      <c r="F336" s="663" t="s">
        <v>576</v>
      </c>
      <c r="G336" s="651" t="s">
        <v>581</v>
      </c>
      <c r="H336" s="651" t="s">
        <v>488</v>
      </c>
      <c r="I336" s="651" t="s">
        <v>489</v>
      </c>
      <c r="J336" s="664">
        <v>3060.34</v>
      </c>
      <c r="K336" s="665">
        <v>36.1</v>
      </c>
      <c r="L336" s="655">
        <f t="shared" si="37"/>
        <v>84.773961218836561</v>
      </c>
      <c r="M336" s="666">
        <v>60</v>
      </c>
      <c r="N336" s="667">
        <f t="shared" si="38"/>
        <v>51.00566666666667</v>
      </c>
      <c r="O336" s="668">
        <f t="shared" ca="1" si="39"/>
        <v>176</v>
      </c>
      <c r="P336" s="655">
        <f t="shared" ca="1" si="40"/>
        <v>-5916.6573333333345</v>
      </c>
      <c r="Q336" s="667">
        <f t="shared" ca="1" si="41"/>
        <v>1</v>
      </c>
      <c r="R336" s="669" t="s">
        <v>370</v>
      </c>
    </row>
    <row r="337" spans="2:19" ht="39.950000000000003" customHeight="1" x14ac:dyDescent="0.25">
      <c r="B337" s="661">
        <v>40028</v>
      </c>
      <c r="C337" s="662" t="s">
        <v>2351</v>
      </c>
      <c r="D337" s="669" t="s">
        <v>571</v>
      </c>
      <c r="E337" s="651" t="s">
        <v>582</v>
      </c>
      <c r="F337" s="663" t="s">
        <v>576</v>
      </c>
      <c r="G337" s="651" t="s">
        <v>583</v>
      </c>
      <c r="H337" s="651" t="s">
        <v>23</v>
      </c>
      <c r="I337" s="651" t="s">
        <v>24</v>
      </c>
      <c r="J337" s="664">
        <v>3060.34</v>
      </c>
      <c r="K337" s="665">
        <v>36.1</v>
      </c>
      <c r="L337" s="655">
        <f t="shared" si="37"/>
        <v>84.773961218836561</v>
      </c>
      <c r="M337" s="666">
        <v>60</v>
      </c>
      <c r="N337" s="667">
        <f t="shared" si="38"/>
        <v>51.00566666666667</v>
      </c>
      <c r="O337" s="668">
        <f t="shared" ca="1" si="39"/>
        <v>176</v>
      </c>
      <c r="P337" s="655">
        <f t="shared" ca="1" si="40"/>
        <v>-5916.6573333333345</v>
      </c>
      <c r="Q337" s="667">
        <f t="shared" ca="1" si="41"/>
        <v>1</v>
      </c>
      <c r="R337" s="669" t="s">
        <v>370</v>
      </c>
    </row>
    <row r="338" spans="2:19" ht="39.950000000000003" customHeight="1" x14ac:dyDescent="0.25">
      <c r="B338" s="661">
        <v>40051</v>
      </c>
      <c r="C338" s="662" t="s">
        <v>2351</v>
      </c>
      <c r="D338" s="669" t="s">
        <v>584</v>
      </c>
      <c r="E338" s="651" t="s">
        <v>587</v>
      </c>
      <c r="F338" s="663" t="s">
        <v>585</v>
      </c>
      <c r="G338" s="651" t="s">
        <v>588</v>
      </c>
      <c r="H338" s="651" t="s">
        <v>488</v>
      </c>
      <c r="I338" s="651" t="s">
        <v>489</v>
      </c>
      <c r="J338" s="664">
        <v>1348.31</v>
      </c>
      <c r="K338" s="665">
        <v>36.1</v>
      </c>
      <c r="L338" s="655">
        <f t="shared" si="37"/>
        <v>37.349307479224372</v>
      </c>
      <c r="M338" s="666">
        <v>60</v>
      </c>
      <c r="N338" s="667">
        <f t="shared" si="38"/>
        <v>22.471833333333333</v>
      </c>
      <c r="O338" s="668">
        <f t="shared" ca="1" si="39"/>
        <v>175</v>
      </c>
      <c r="P338" s="655">
        <f t="shared" ca="1" si="40"/>
        <v>-2584.2608333333333</v>
      </c>
      <c r="Q338" s="667">
        <f t="shared" ca="1" si="41"/>
        <v>1</v>
      </c>
      <c r="R338" s="669" t="s">
        <v>586</v>
      </c>
    </row>
    <row r="339" spans="2:19" ht="39.950000000000003" customHeight="1" x14ac:dyDescent="0.25">
      <c r="B339" s="661">
        <v>40064</v>
      </c>
      <c r="C339" s="662" t="s">
        <v>2351</v>
      </c>
      <c r="D339" s="669" t="s">
        <v>522</v>
      </c>
      <c r="E339" s="651" t="s">
        <v>589</v>
      </c>
      <c r="F339" s="663" t="s">
        <v>427</v>
      </c>
      <c r="G339" s="651" t="s">
        <v>28</v>
      </c>
      <c r="H339" s="651" t="s">
        <v>458</v>
      </c>
      <c r="I339" s="651" t="s">
        <v>459</v>
      </c>
      <c r="J339" s="664">
        <v>9512</v>
      </c>
      <c r="K339" s="665">
        <v>36.04</v>
      </c>
      <c r="L339" s="655">
        <f t="shared" si="37"/>
        <v>263.92896781354051</v>
      </c>
      <c r="M339" s="666">
        <v>60</v>
      </c>
      <c r="N339" s="667">
        <f t="shared" si="38"/>
        <v>158.53333333333333</v>
      </c>
      <c r="O339" s="668">
        <f t="shared" ca="1" si="39"/>
        <v>175</v>
      </c>
      <c r="P339" s="655">
        <f t="shared" ca="1" si="40"/>
        <v>-18231.333333333332</v>
      </c>
      <c r="Q339" s="667">
        <f t="shared" ca="1" si="41"/>
        <v>1</v>
      </c>
      <c r="R339" s="669" t="s">
        <v>320</v>
      </c>
    </row>
    <row r="340" spans="2:19" ht="50.1" customHeight="1" x14ac:dyDescent="0.25">
      <c r="B340" s="661">
        <v>40064</v>
      </c>
      <c r="C340" s="662" t="s">
        <v>2351</v>
      </c>
      <c r="D340" s="669" t="s">
        <v>522</v>
      </c>
      <c r="E340" s="651" t="s">
        <v>590</v>
      </c>
      <c r="F340" s="663" t="s">
        <v>591</v>
      </c>
      <c r="G340" s="651" t="s">
        <v>28</v>
      </c>
      <c r="H340" s="651" t="s">
        <v>458</v>
      </c>
      <c r="I340" s="651" t="s">
        <v>459</v>
      </c>
      <c r="J340" s="664">
        <v>4636</v>
      </c>
      <c r="K340" s="665">
        <v>36.04</v>
      </c>
      <c r="L340" s="655">
        <f t="shared" si="37"/>
        <v>128.6348501664817</v>
      </c>
      <c r="M340" s="666">
        <v>60</v>
      </c>
      <c r="N340" s="667">
        <f t="shared" si="38"/>
        <v>77.266666666666666</v>
      </c>
      <c r="O340" s="668">
        <f t="shared" ca="1" si="39"/>
        <v>175</v>
      </c>
      <c r="P340" s="655">
        <f t="shared" ca="1" si="40"/>
        <v>-8885.6666666666661</v>
      </c>
      <c r="Q340" s="667">
        <f t="shared" ca="1" si="41"/>
        <v>1</v>
      </c>
      <c r="R340" s="669" t="s">
        <v>320</v>
      </c>
    </row>
    <row r="341" spans="2:19" ht="50.1" customHeight="1" x14ac:dyDescent="0.25">
      <c r="B341" s="661">
        <v>40064</v>
      </c>
      <c r="C341" s="662" t="s">
        <v>2351</v>
      </c>
      <c r="D341" s="669" t="s">
        <v>522</v>
      </c>
      <c r="E341" s="651" t="s">
        <v>592</v>
      </c>
      <c r="F341" s="663" t="s">
        <v>593</v>
      </c>
      <c r="G341" s="651" t="s">
        <v>28</v>
      </c>
      <c r="H341" s="651" t="s">
        <v>458</v>
      </c>
      <c r="I341" s="651" t="s">
        <v>459</v>
      </c>
      <c r="J341" s="664">
        <v>12347</v>
      </c>
      <c r="K341" s="665">
        <v>36.04</v>
      </c>
      <c r="L341" s="655">
        <f t="shared" si="37"/>
        <v>342.59156492785792</v>
      </c>
      <c r="M341" s="666">
        <v>60</v>
      </c>
      <c r="N341" s="667">
        <f t="shared" si="38"/>
        <v>205.78333333333333</v>
      </c>
      <c r="O341" s="668">
        <f t="shared" ca="1" si="39"/>
        <v>175</v>
      </c>
      <c r="P341" s="655">
        <f t="shared" ca="1" si="40"/>
        <v>-23665.083333333336</v>
      </c>
      <c r="Q341" s="667">
        <f t="shared" ca="1" si="41"/>
        <v>1</v>
      </c>
      <c r="R341" s="669" t="s">
        <v>320</v>
      </c>
    </row>
    <row r="342" spans="2:19" ht="50.1" customHeight="1" x14ac:dyDescent="0.25">
      <c r="B342" s="661">
        <v>40064</v>
      </c>
      <c r="C342" s="662" t="s">
        <v>2351</v>
      </c>
      <c r="D342" s="669" t="s">
        <v>522</v>
      </c>
      <c r="E342" s="651" t="s">
        <v>594</v>
      </c>
      <c r="F342" s="663" t="s">
        <v>408</v>
      </c>
      <c r="G342" s="651" t="s">
        <v>28</v>
      </c>
      <c r="H342" s="651" t="s">
        <v>458</v>
      </c>
      <c r="I342" s="651" t="s">
        <v>459</v>
      </c>
      <c r="J342" s="664">
        <v>2426</v>
      </c>
      <c r="K342" s="665">
        <v>36.04</v>
      </c>
      <c r="L342" s="655">
        <f t="shared" si="37"/>
        <v>67.314095449500556</v>
      </c>
      <c r="M342" s="666">
        <v>60</v>
      </c>
      <c r="N342" s="667">
        <f t="shared" si="38"/>
        <v>40.43333333333333</v>
      </c>
      <c r="O342" s="668">
        <f t="shared" ca="1" si="39"/>
        <v>175</v>
      </c>
      <c r="P342" s="655">
        <f t="shared" ca="1" si="40"/>
        <v>-4649.833333333333</v>
      </c>
      <c r="Q342" s="667">
        <f t="shared" ca="1" si="41"/>
        <v>1</v>
      </c>
      <c r="R342" s="669" t="s">
        <v>320</v>
      </c>
    </row>
    <row r="343" spans="2:19" ht="50.1" customHeight="1" x14ac:dyDescent="0.25">
      <c r="B343" s="661">
        <v>40064</v>
      </c>
      <c r="C343" s="662" t="s">
        <v>2351</v>
      </c>
      <c r="D343" s="669" t="s">
        <v>522</v>
      </c>
      <c r="E343" s="651" t="s">
        <v>595</v>
      </c>
      <c r="F343" s="663" t="s">
        <v>524</v>
      </c>
      <c r="G343" s="651" t="s">
        <v>28</v>
      </c>
      <c r="H343" s="651" t="s">
        <v>458</v>
      </c>
      <c r="I343" s="651" t="s">
        <v>459</v>
      </c>
      <c r="J343" s="664">
        <v>1200</v>
      </c>
      <c r="K343" s="665">
        <v>36.04</v>
      </c>
      <c r="L343" s="655">
        <f t="shared" si="37"/>
        <v>33.296337402885683</v>
      </c>
      <c r="M343" s="666">
        <v>60</v>
      </c>
      <c r="N343" s="667">
        <f t="shared" si="38"/>
        <v>20</v>
      </c>
      <c r="O343" s="668">
        <f t="shared" ca="1" si="39"/>
        <v>175</v>
      </c>
      <c r="P343" s="655">
        <f t="shared" ca="1" si="40"/>
        <v>-2300</v>
      </c>
      <c r="Q343" s="667">
        <f t="shared" ca="1" si="41"/>
        <v>1</v>
      </c>
      <c r="R343" s="669" t="s">
        <v>320</v>
      </c>
    </row>
    <row r="344" spans="2:19" ht="50.1" customHeight="1" x14ac:dyDescent="0.25">
      <c r="B344" s="661">
        <v>40064</v>
      </c>
      <c r="C344" s="662" t="s">
        <v>2351</v>
      </c>
      <c r="D344" s="669" t="s">
        <v>522</v>
      </c>
      <c r="E344" s="651" t="s">
        <v>596</v>
      </c>
      <c r="F344" s="663" t="s">
        <v>524</v>
      </c>
      <c r="G344" s="651" t="s">
        <v>28</v>
      </c>
      <c r="H344" s="651" t="s">
        <v>458</v>
      </c>
      <c r="I344" s="651" t="s">
        <v>459</v>
      </c>
      <c r="J344" s="664">
        <v>1200</v>
      </c>
      <c r="K344" s="665">
        <v>36.04</v>
      </c>
      <c r="L344" s="655">
        <f t="shared" si="37"/>
        <v>33.296337402885683</v>
      </c>
      <c r="M344" s="666">
        <v>60</v>
      </c>
      <c r="N344" s="667">
        <f t="shared" si="38"/>
        <v>20</v>
      </c>
      <c r="O344" s="668">
        <f t="shared" ca="1" si="39"/>
        <v>175</v>
      </c>
      <c r="P344" s="655">
        <f t="shared" ca="1" si="40"/>
        <v>-2300</v>
      </c>
      <c r="Q344" s="667">
        <f t="shared" ca="1" si="41"/>
        <v>1</v>
      </c>
      <c r="R344" s="669" t="s">
        <v>320</v>
      </c>
    </row>
    <row r="345" spans="2:19" ht="50.1" customHeight="1" x14ac:dyDescent="0.25">
      <c r="B345" s="661">
        <v>40064</v>
      </c>
      <c r="C345" s="662" t="s">
        <v>2351</v>
      </c>
      <c r="D345" s="669" t="s">
        <v>522</v>
      </c>
      <c r="E345" s="651" t="s">
        <v>597</v>
      </c>
      <c r="F345" s="663" t="s">
        <v>524</v>
      </c>
      <c r="G345" s="651" t="s">
        <v>28</v>
      </c>
      <c r="H345" s="651" t="s">
        <v>458</v>
      </c>
      <c r="I345" s="651" t="s">
        <v>459</v>
      </c>
      <c r="J345" s="664">
        <v>1200</v>
      </c>
      <c r="K345" s="665">
        <v>36.04</v>
      </c>
      <c r="L345" s="655">
        <f t="shared" si="37"/>
        <v>33.296337402885683</v>
      </c>
      <c r="M345" s="666">
        <v>60</v>
      </c>
      <c r="N345" s="667">
        <f t="shared" si="38"/>
        <v>20</v>
      </c>
      <c r="O345" s="668">
        <f t="shared" ca="1" si="39"/>
        <v>175</v>
      </c>
      <c r="P345" s="655">
        <f t="shared" ca="1" si="40"/>
        <v>-2300</v>
      </c>
      <c r="Q345" s="667">
        <f t="shared" ca="1" si="41"/>
        <v>1</v>
      </c>
      <c r="R345" s="669" t="s">
        <v>320</v>
      </c>
    </row>
    <row r="346" spans="2:19" ht="50.1" customHeight="1" x14ac:dyDescent="0.25">
      <c r="B346" s="661">
        <v>40064</v>
      </c>
      <c r="C346" s="662" t="s">
        <v>2351</v>
      </c>
      <c r="D346" s="669" t="s">
        <v>522</v>
      </c>
      <c r="E346" s="651" t="s">
        <v>598</v>
      </c>
      <c r="F346" s="663" t="s">
        <v>524</v>
      </c>
      <c r="G346" s="651" t="s">
        <v>28</v>
      </c>
      <c r="H346" s="651" t="s">
        <v>458</v>
      </c>
      <c r="I346" s="651" t="s">
        <v>459</v>
      </c>
      <c r="J346" s="664">
        <v>1200</v>
      </c>
      <c r="K346" s="665">
        <v>36.04</v>
      </c>
      <c r="L346" s="655">
        <f t="shared" si="37"/>
        <v>33.296337402885683</v>
      </c>
      <c r="M346" s="666">
        <v>60</v>
      </c>
      <c r="N346" s="667">
        <f t="shared" si="38"/>
        <v>20</v>
      </c>
      <c r="O346" s="668">
        <f t="shared" ca="1" si="39"/>
        <v>175</v>
      </c>
      <c r="P346" s="655">
        <f t="shared" ca="1" si="40"/>
        <v>-2300</v>
      </c>
      <c r="Q346" s="667">
        <f t="shared" ca="1" si="41"/>
        <v>1</v>
      </c>
      <c r="R346" s="669" t="s">
        <v>320</v>
      </c>
    </row>
    <row r="347" spans="2:19" ht="50.1" customHeight="1" x14ac:dyDescent="0.25">
      <c r="B347" s="661">
        <v>40099</v>
      </c>
      <c r="C347" s="662" t="s">
        <v>2351</v>
      </c>
      <c r="D347" s="669" t="s">
        <v>599</v>
      </c>
      <c r="E347" s="651" t="s">
        <v>600</v>
      </c>
      <c r="F347" s="663" t="s">
        <v>601</v>
      </c>
      <c r="G347" s="651" t="s">
        <v>28</v>
      </c>
      <c r="H347" s="651" t="s">
        <v>458</v>
      </c>
      <c r="I347" s="651" t="s">
        <v>459</v>
      </c>
      <c r="J347" s="664">
        <v>21090</v>
      </c>
      <c r="K347" s="665">
        <v>35.9</v>
      </c>
      <c r="L347" s="655">
        <f t="shared" si="37"/>
        <v>587.46518105849589</v>
      </c>
      <c r="M347" s="666">
        <v>60</v>
      </c>
      <c r="N347" s="667">
        <f t="shared" si="38"/>
        <v>351.5</v>
      </c>
      <c r="O347" s="668">
        <f t="shared" ca="1" si="39"/>
        <v>173</v>
      </c>
      <c r="P347" s="655">
        <f t="shared" ca="1" si="40"/>
        <v>-39719.5</v>
      </c>
      <c r="Q347" s="667">
        <f t="shared" ca="1" si="41"/>
        <v>1</v>
      </c>
      <c r="R347" s="669" t="s">
        <v>403</v>
      </c>
    </row>
    <row r="348" spans="2:19" ht="50.1" customHeight="1" x14ac:dyDescent="0.25">
      <c r="B348" s="661">
        <v>40099</v>
      </c>
      <c r="C348" s="662" t="s">
        <v>2351</v>
      </c>
      <c r="D348" s="669" t="s">
        <v>599</v>
      </c>
      <c r="E348" s="651" t="s">
        <v>602</v>
      </c>
      <c r="F348" s="663" t="s">
        <v>603</v>
      </c>
      <c r="G348" s="651" t="s">
        <v>28</v>
      </c>
      <c r="H348" s="651" t="s">
        <v>458</v>
      </c>
      <c r="I348" s="651" t="s">
        <v>459</v>
      </c>
      <c r="J348" s="664">
        <v>5850</v>
      </c>
      <c r="K348" s="665">
        <v>35.9</v>
      </c>
      <c r="L348" s="655">
        <f t="shared" si="37"/>
        <v>162.95264623955433</v>
      </c>
      <c r="M348" s="666">
        <v>60</v>
      </c>
      <c r="N348" s="667">
        <f t="shared" si="38"/>
        <v>97.5</v>
      </c>
      <c r="O348" s="668">
        <f t="shared" ca="1" si="39"/>
        <v>173</v>
      </c>
      <c r="P348" s="655">
        <f t="shared" ca="1" si="40"/>
        <v>-11017.5</v>
      </c>
      <c r="Q348" s="667">
        <f t="shared" ca="1" si="41"/>
        <v>1</v>
      </c>
      <c r="R348" s="669" t="s">
        <v>403</v>
      </c>
    </row>
    <row r="349" spans="2:19" ht="50.1" customHeight="1" x14ac:dyDescent="0.25">
      <c r="B349" s="661">
        <v>40099</v>
      </c>
      <c r="C349" s="662" t="s">
        <v>2351</v>
      </c>
      <c r="D349" s="669" t="s">
        <v>599</v>
      </c>
      <c r="E349" s="651" t="s">
        <v>604</v>
      </c>
      <c r="F349" s="663" t="s">
        <v>512</v>
      </c>
      <c r="G349" s="651" t="s">
        <v>28</v>
      </c>
      <c r="H349" s="651" t="s">
        <v>458</v>
      </c>
      <c r="I349" s="651" t="s">
        <v>459</v>
      </c>
      <c r="J349" s="664">
        <v>19500</v>
      </c>
      <c r="K349" s="665">
        <v>35.9</v>
      </c>
      <c r="L349" s="655">
        <f t="shared" si="37"/>
        <v>543.17548746518105</v>
      </c>
      <c r="M349" s="666">
        <v>60</v>
      </c>
      <c r="N349" s="667">
        <f t="shared" si="38"/>
        <v>325</v>
      </c>
      <c r="O349" s="668">
        <f t="shared" ca="1" si="39"/>
        <v>173</v>
      </c>
      <c r="P349" s="655">
        <f t="shared" ca="1" si="40"/>
        <v>-36725</v>
      </c>
      <c r="Q349" s="667">
        <f t="shared" ca="1" si="41"/>
        <v>1</v>
      </c>
      <c r="R349" s="669" t="s">
        <v>403</v>
      </c>
    </row>
    <row r="350" spans="2:19" ht="39.950000000000003" customHeight="1" x14ac:dyDescent="0.25">
      <c r="B350" s="661">
        <v>40099</v>
      </c>
      <c r="C350" s="662" t="s">
        <v>2351</v>
      </c>
      <c r="D350" s="669" t="s">
        <v>599</v>
      </c>
      <c r="E350" s="651" t="s">
        <v>605</v>
      </c>
      <c r="F350" s="663" t="s">
        <v>603</v>
      </c>
      <c r="G350" s="651" t="s">
        <v>28</v>
      </c>
      <c r="H350" s="651" t="s">
        <v>4410</v>
      </c>
      <c r="I350" s="651" t="s">
        <v>468</v>
      </c>
      <c r="J350" s="664">
        <v>5850</v>
      </c>
      <c r="K350" s="665">
        <v>35.9</v>
      </c>
      <c r="L350" s="655">
        <f t="shared" si="37"/>
        <v>162.95264623955433</v>
      </c>
      <c r="M350" s="666">
        <v>60</v>
      </c>
      <c r="N350" s="667">
        <f t="shared" si="38"/>
        <v>97.5</v>
      </c>
      <c r="O350" s="668">
        <f t="shared" ca="1" si="39"/>
        <v>173</v>
      </c>
      <c r="P350" s="655">
        <f t="shared" ca="1" si="40"/>
        <v>-11017.5</v>
      </c>
      <c r="Q350" s="667">
        <f t="shared" ca="1" si="41"/>
        <v>1</v>
      </c>
      <c r="R350" s="669" t="s">
        <v>403</v>
      </c>
    </row>
    <row r="351" spans="2:19" ht="39.950000000000003" customHeight="1" x14ac:dyDescent="0.25">
      <c r="B351" s="661">
        <v>40099</v>
      </c>
      <c r="C351" s="662" t="s">
        <v>2351</v>
      </c>
      <c r="D351" s="669" t="s">
        <v>599</v>
      </c>
      <c r="E351" s="651" t="s">
        <v>606</v>
      </c>
      <c r="F351" s="663" t="s">
        <v>512</v>
      </c>
      <c r="G351" s="651" t="s">
        <v>28</v>
      </c>
      <c r="H351" s="651" t="s">
        <v>4411</v>
      </c>
      <c r="I351" s="651" t="s">
        <v>468</v>
      </c>
      <c r="J351" s="664">
        <v>19500</v>
      </c>
      <c r="K351" s="665">
        <v>35.9</v>
      </c>
      <c r="L351" s="655">
        <f t="shared" si="37"/>
        <v>543.17548746518105</v>
      </c>
      <c r="M351" s="666">
        <v>60</v>
      </c>
      <c r="N351" s="667">
        <f t="shared" si="38"/>
        <v>325</v>
      </c>
      <c r="O351" s="668">
        <f t="shared" ca="1" si="39"/>
        <v>173</v>
      </c>
      <c r="P351" s="655">
        <f t="shared" ca="1" si="40"/>
        <v>-36725</v>
      </c>
      <c r="Q351" s="667">
        <f t="shared" ca="1" si="41"/>
        <v>1</v>
      </c>
      <c r="R351" s="669" t="s">
        <v>403</v>
      </c>
    </row>
    <row r="352" spans="2:19" ht="39.950000000000003" customHeight="1" x14ac:dyDescent="0.25">
      <c r="B352" s="661">
        <v>40099</v>
      </c>
      <c r="C352" s="662" t="s">
        <v>2351</v>
      </c>
      <c r="D352" s="669" t="s">
        <v>599</v>
      </c>
      <c r="E352" s="651" t="s">
        <v>607</v>
      </c>
      <c r="F352" s="663" t="s">
        <v>603</v>
      </c>
      <c r="G352" s="651" t="s">
        <v>28</v>
      </c>
      <c r="H352" s="651" t="s">
        <v>608</v>
      </c>
      <c r="I352" s="651" t="s">
        <v>609</v>
      </c>
      <c r="J352" s="664">
        <v>5850</v>
      </c>
      <c r="K352" s="665">
        <v>35.9</v>
      </c>
      <c r="L352" s="655">
        <f t="shared" si="37"/>
        <v>162.95264623955433</v>
      </c>
      <c r="M352" s="666">
        <v>60</v>
      </c>
      <c r="N352" s="667">
        <f t="shared" si="38"/>
        <v>97.5</v>
      </c>
      <c r="O352" s="668">
        <f t="shared" ca="1" si="39"/>
        <v>173</v>
      </c>
      <c r="P352" s="655">
        <f t="shared" ca="1" si="40"/>
        <v>-11017.5</v>
      </c>
      <c r="Q352" s="667">
        <f t="shared" ca="1" si="41"/>
        <v>1</v>
      </c>
      <c r="R352" s="669" t="s">
        <v>403</v>
      </c>
      <c r="S352" s="417"/>
    </row>
    <row r="353" spans="2:18" ht="39.950000000000003" customHeight="1" x14ac:dyDescent="0.25">
      <c r="B353" s="661">
        <v>40099</v>
      </c>
      <c r="C353" s="662" t="s">
        <v>2351</v>
      </c>
      <c r="D353" s="669" t="s">
        <v>599</v>
      </c>
      <c r="E353" s="651" t="s">
        <v>610</v>
      </c>
      <c r="F353" s="663" t="s">
        <v>601</v>
      </c>
      <c r="G353" s="651" t="s">
        <v>28</v>
      </c>
      <c r="H353" s="651" t="s">
        <v>481</v>
      </c>
      <c r="I353" s="651" t="s">
        <v>482</v>
      </c>
      <c r="J353" s="664">
        <v>21090</v>
      </c>
      <c r="K353" s="665">
        <v>35.9</v>
      </c>
      <c r="L353" s="655">
        <f t="shared" si="37"/>
        <v>587.46518105849589</v>
      </c>
      <c r="M353" s="666">
        <v>60</v>
      </c>
      <c r="N353" s="667">
        <f t="shared" si="38"/>
        <v>351.5</v>
      </c>
      <c r="O353" s="668">
        <f t="shared" ca="1" si="39"/>
        <v>173</v>
      </c>
      <c r="P353" s="655">
        <f t="shared" ca="1" si="40"/>
        <v>-39719.5</v>
      </c>
      <c r="Q353" s="667">
        <f t="shared" ca="1" si="41"/>
        <v>1</v>
      </c>
      <c r="R353" s="669" t="s">
        <v>403</v>
      </c>
    </row>
    <row r="354" spans="2:18" ht="39.950000000000003" customHeight="1" x14ac:dyDescent="0.25">
      <c r="B354" s="661">
        <v>40099</v>
      </c>
      <c r="C354" s="662" t="s">
        <v>2351</v>
      </c>
      <c r="D354" s="669" t="s">
        <v>599</v>
      </c>
      <c r="E354" s="651" t="s">
        <v>611</v>
      </c>
      <c r="F354" s="663" t="s">
        <v>601</v>
      </c>
      <c r="G354" s="651" t="s">
        <v>28</v>
      </c>
      <c r="H354" s="651" t="s">
        <v>481</v>
      </c>
      <c r="I354" s="651" t="s">
        <v>482</v>
      </c>
      <c r="J354" s="664">
        <v>21090</v>
      </c>
      <c r="K354" s="665">
        <v>35.9</v>
      </c>
      <c r="L354" s="655">
        <f t="shared" si="37"/>
        <v>587.46518105849589</v>
      </c>
      <c r="M354" s="666">
        <v>60</v>
      </c>
      <c r="N354" s="667">
        <f t="shared" si="38"/>
        <v>351.5</v>
      </c>
      <c r="O354" s="668">
        <f t="shared" ca="1" si="39"/>
        <v>173</v>
      </c>
      <c r="P354" s="655">
        <f t="shared" ca="1" si="40"/>
        <v>-39719.5</v>
      </c>
      <c r="Q354" s="667">
        <f t="shared" ca="1" si="41"/>
        <v>1</v>
      </c>
      <c r="R354" s="669" t="s">
        <v>403</v>
      </c>
    </row>
    <row r="355" spans="2:18" ht="39.950000000000003" customHeight="1" x14ac:dyDescent="0.25">
      <c r="B355" s="661">
        <v>40099</v>
      </c>
      <c r="C355" s="662" t="s">
        <v>2351</v>
      </c>
      <c r="D355" s="669" t="s">
        <v>599</v>
      </c>
      <c r="E355" s="651" t="s">
        <v>612</v>
      </c>
      <c r="F355" s="663" t="s">
        <v>601</v>
      </c>
      <c r="G355" s="651" t="s">
        <v>28</v>
      </c>
      <c r="H355" s="651" t="s">
        <v>481</v>
      </c>
      <c r="I355" s="651" t="s">
        <v>482</v>
      </c>
      <c r="J355" s="664">
        <v>21090</v>
      </c>
      <c r="K355" s="665">
        <v>35.9</v>
      </c>
      <c r="L355" s="655">
        <f t="shared" si="37"/>
        <v>587.46518105849589</v>
      </c>
      <c r="M355" s="666">
        <v>60</v>
      </c>
      <c r="N355" s="667">
        <f t="shared" si="38"/>
        <v>351.5</v>
      </c>
      <c r="O355" s="668">
        <f t="shared" ca="1" si="39"/>
        <v>173</v>
      </c>
      <c r="P355" s="655">
        <f t="shared" ca="1" si="40"/>
        <v>-39719.5</v>
      </c>
      <c r="Q355" s="667">
        <f t="shared" ca="1" si="41"/>
        <v>1</v>
      </c>
      <c r="R355" s="669" t="s">
        <v>403</v>
      </c>
    </row>
    <row r="356" spans="2:18" ht="39.950000000000003" customHeight="1" x14ac:dyDescent="0.25">
      <c r="B356" s="661">
        <v>40099</v>
      </c>
      <c r="C356" s="662" t="s">
        <v>2351</v>
      </c>
      <c r="D356" s="669" t="s">
        <v>599</v>
      </c>
      <c r="E356" s="651" t="s">
        <v>613</v>
      </c>
      <c r="F356" s="663" t="s">
        <v>603</v>
      </c>
      <c r="G356" s="651" t="s">
        <v>28</v>
      </c>
      <c r="H356" s="651" t="s">
        <v>481</v>
      </c>
      <c r="I356" s="651" t="s">
        <v>482</v>
      </c>
      <c r="J356" s="664">
        <v>5850</v>
      </c>
      <c r="K356" s="665">
        <v>35.9</v>
      </c>
      <c r="L356" s="655">
        <f t="shared" si="37"/>
        <v>162.95264623955433</v>
      </c>
      <c r="M356" s="666">
        <v>60</v>
      </c>
      <c r="N356" s="667">
        <f t="shared" si="38"/>
        <v>97.5</v>
      </c>
      <c r="O356" s="668">
        <f t="shared" ca="1" si="39"/>
        <v>173</v>
      </c>
      <c r="P356" s="655">
        <f t="shared" ca="1" si="40"/>
        <v>-11017.5</v>
      </c>
      <c r="Q356" s="667">
        <f t="shared" ca="1" si="41"/>
        <v>1</v>
      </c>
      <c r="R356" s="669" t="s">
        <v>403</v>
      </c>
    </row>
    <row r="357" spans="2:18" ht="39.950000000000003" customHeight="1" x14ac:dyDescent="0.25">
      <c r="B357" s="661">
        <v>40099</v>
      </c>
      <c r="C357" s="662" t="s">
        <v>2351</v>
      </c>
      <c r="D357" s="669" t="s">
        <v>599</v>
      </c>
      <c r="E357" s="651" t="s">
        <v>614</v>
      </c>
      <c r="F357" s="663" t="s">
        <v>512</v>
      </c>
      <c r="G357" s="651" t="s">
        <v>28</v>
      </c>
      <c r="H357" s="651" t="s">
        <v>481</v>
      </c>
      <c r="I357" s="651" t="s">
        <v>482</v>
      </c>
      <c r="J357" s="664">
        <v>19500</v>
      </c>
      <c r="K357" s="665">
        <v>35.9</v>
      </c>
      <c r="L357" s="655">
        <f t="shared" si="37"/>
        <v>543.17548746518105</v>
      </c>
      <c r="M357" s="666">
        <v>60</v>
      </c>
      <c r="N357" s="667">
        <f t="shared" si="38"/>
        <v>325</v>
      </c>
      <c r="O357" s="668">
        <f t="shared" ca="1" si="39"/>
        <v>173</v>
      </c>
      <c r="P357" s="655">
        <f t="shared" ca="1" si="40"/>
        <v>-36725</v>
      </c>
      <c r="Q357" s="667">
        <f t="shared" ca="1" si="41"/>
        <v>1</v>
      </c>
      <c r="R357" s="669" t="s">
        <v>403</v>
      </c>
    </row>
    <row r="358" spans="2:18" ht="39.950000000000003" customHeight="1" x14ac:dyDescent="0.25">
      <c r="B358" s="661">
        <v>40099</v>
      </c>
      <c r="C358" s="662" t="s">
        <v>2351</v>
      </c>
      <c r="D358" s="669" t="s">
        <v>599</v>
      </c>
      <c r="E358" s="651" t="s">
        <v>615</v>
      </c>
      <c r="F358" s="663" t="s">
        <v>512</v>
      </c>
      <c r="G358" s="651" t="s">
        <v>28</v>
      </c>
      <c r="H358" s="651" t="s">
        <v>481</v>
      </c>
      <c r="I358" s="651" t="s">
        <v>482</v>
      </c>
      <c r="J358" s="664">
        <v>19500</v>
      </c>
      <c r="K358" s="665">
        <v>35.9</v>
      </c>
      <c r="L358" s="655">
        <f t="shared" si="37"/>
        <v>543.17548746518105</v>
      </c>
      <c r="M358" s="666">
        <v>60</v>
      </c>
      <c r="N358" s="667">
        <f t="shared" si="38"/>
        <v>325</v>
      </c>
      <c r="O358" s="668">
        <f t="shared" ca="1" si="39"/>
        <v>173</v>
      </c>
      <c r="P358" s="655">
        <f t="shared" ca="1" si="40"/>
        <v>-36725</v>
      </c>
      <c r="Q358" s="667">
        <f t="shared" ca="1" si="41"/>
        <v>1</v>
      </c>
      <c r="R358" s="669" t="s">
        <v>403</v>
      </c>
    </row>
    <row r="359" spans="2:18" ht="39.950000000000003" customHeight="1" x14ac:dyDescent="0.25">
      <c r="B359" s="661">
        <v>40099</v>
      </c>
      <c r="C359" s="662" t="s">
        <v>2351</v>
      </c>
      <c r="D359" s="669" t="s">
        <v>599</v>
      </c>
      <c r="E359" s="651" t="s">
        <v>616</v>
      </c>
      <c r="F359" s="663" t="s">
        <v>601</v>
      </c>
      <c r="G359" s="651" t="s">
        <v>28</v>
      </c>
      <c r="H359" s="651" t="s">
        <v>488</v>
      </c>
      <c r="I359" s="651" t="s">
        <v>489</v>
      </c>
      <c r="J359" s="664">
        <v>21090</v>
      </c>
      <c r="K359" s="665">
        <v>35.9</v>
      </c>
      <c r="L359" s="655">
        <f t="shared" si="37"/>
        <v>587.46518105849589</v>
      </c>
      <c r="M359" s="666">
        <v>60</v>
      </c>
      <c r="N359" s="667">
        <f t="shared" si="38"/>
        <v>351.5</v>
      </c>
      <c r="O359" s="668">
        <f t="shared" ca="1" si="39"/>
        <v>173</v>
      </c>
      <c r="P359" s="655">
        <f t="shared" ca="1" si="40"/>
        <v>-39719.5</v>
      </c>
      <c r="Q359" s="667">
        <f t="shared" ca="1" si="41"/>
        <v>1</v>
      </c>
      <c r="R359" s="669" t="s">
        <v>403</v>
      </c>
    </row>
    <row r="360" spans="2:18" ht="39.950000000000003" customHeight="1" x14ac:dyDescent="0.25">
      <c r="B360" s="661">
        <v>40099</v>
      </c>
      <c r="C360" s="662" t="s">
        <v>2351</v>
      </c>
      <c r="D360" s="669" t="s">
        <v>599</v>
      </c>
      <c r="E360" s="651" t="s">
        <v>617</v>
      </c>
      <c r="F360" s="663" t="s">
        <v>603</v>
      </c>
      <c r="G360" s="651" t="s">
        <v>28</v>
      </c>
      <c r="H360" s="651" t="s">
        <v>488</v>
      </c>
      <c r="I360" s="651" t="s">
        <v>489</v>
      </c>
      <c r="J360" s="664">
        <v>5850</v>
      </c>
      <c r="K360" s="665">
        <v>35.9</v>
      </c>
      <c r="L360" s="655">
        <f t="shared" si="37"/>
        <v>162.95264623955433</v>
      </c>
      <c r="M360" s="666">
        <v>60</v>
      </c>
      <c r="N360" s="667">
        <f t="shared" si="38"/>
        <v>97.5</v>
      </c>
      <c r="O360" s="668">
        <f t="shared" ca="1" si="39"/>
        <v>173</v>
      </c>
      <c r="P360" s="655">
        <f t="shared" ca="1" si="40"/>
        <v>-11017.5</v>
      </c>
      <c r="Q360" s="667">
        <f t="shared" ca="1" si="41"/>
        <v>1</v>
      </c>
      <c r="R360" s="669" t="s">
        <v>403</v>
      </c>
    </row>
    <row r="361" spans="2:18" ht="39.950000000000003" customHeight="1" x14ac:dyDescent="0.25">
      <c r="B361" s="661">
        <v>40099</v>
      </c>
      <c r="C361" s="662" t="s">
        <v>2351</v>
      </c>
      <c r="D361" s="669" t="s">
        <v>599</v>
      </c>
      <c r="E361" s="651" t="s">
        <v>618</v>
      </c>
      <c r="F361" s="663" t="s">
        <v>512</v>
      </c>
      <c r="G361" s="651" t="s">
        <v>28</v>
      </c>
      <c r="H361" s="651" t="s">
        <v>488</v>
      </c>
      <c r="I361" s="651" t="s">
        <v>489</v>
      </c>
      <c r="J361" s="664">
        <v>19500</v>
      </c>
      <c r="K361" s="665">
        <v>35.9</v>
      </c>
      <c r="L361" s="655">
        <f t="shared" si="37"/>
        <v>543.17548746518105</v>
      </c>
      <c r="M361" s="666">
        <v>60</v>
      </c>
      <c r="N361" s="667">
        <f t="shared" si="38"/>
        <v>325</v>
      </c>
      <c r="O361" s="668">
        <f t="shared" ca="1" si="39"/>
        <v>173</v>
      </c>
      <c r="P361" s="655">
        <f t="shared" ca="1" si="40"/>
        <v>-36725</v>
      </c>
      <c r="Q361" s="667">
        <f t="shared" ca="1" si="41"/>
        <v>1</v>
      </c>
      <c r="R361" s="669" t="s">
        <v>403</v>
      </c>
    </row>
    <row r="362" spans="2:18" ht="60" customHeight="1" x14ac:dyDescent="0.25">
      <c r="B362" s="661">
        <v>40100</v>
      </c>
      <c r="C362" s="662" t="s">
        <v>2351</v>
      </c>
      <c r="D362" s="669" t="s">
        <v>599</v>
      </c>
      <c r="E362" s="651" t="s">
        <v>619</v>
      </c>
      <c r="F362" s="663" t="s">
        <v>512</v>
      </c>
      <c r="G362" s="651" t="s">
        <v>28</v>
      </c>
      <c r="H362" s="651" t="s">
        <v>67</v>
      </c>
      <c r="I362" s="651" t="s">
        <v>498</v>
      </c>
      <c r="J362" s="664">
        <v>19500</v>
      </c>
      <c r="K362" s="665">
        <v>35.9</v>
      </c>
      <c r="L362" s="655">
        <f t="shared" si="37"/>
        <v>543.17548746518105</v>
      </c>
      <c r="M362" s="666">
        <v>60</v>
      </c>
      <c r="N362" s="667">
        <f t="shared" si="38"/>
        <v>325</v>
      </c>
      <c r="O362" s="668">
        <f t="shared" ca="1" si="39"/>
        <v>173</v>
      </c>
      <c r="P362" s="655">
        <f t="shared" ca="1" si="40"/>
        <v>-36725</v>
      </c>
      <c r="Q362" s="667">
        <f t="shared" ca="1" si="41"/>
        <v>1</v>
      </c>
      <c r="R362" s="669" t="s">
        <v>403</v>
      </c>
    </row>
    <row r="363" spans="2:18" ht="60" customHeight="1" x14ac:dyDescent="0.25">
      <c r="B363" s="661">
        <v>40099</v>
      </c>
      <c r="C363" s="662" t="s">
        <v>2351</v>
      </c>
      <c r="D363" s="669" t="s">
        <v>599</v>
      </c>
      <c r="E363" s="651" t="s">
        <v>620</v>
      </c>
      <c r="F363" s="663" t="s">
        <v>512</v>
      </c>
      <c r="G363" s="651" t="s">
        <v>28</v>
      </c>
      <c r="H363" s="651" t="s">
        <v>67</v>
      </c>
      <c r="I363" s="651" t="s">
        <v>4432</v>
      </c>
      <c r="J363" s="664">
        <v>19500</v>
      </c>
      <c r="K363" s="665">
        <v>35.9</v>
      </c>
      <c r="L363" s="655">
        <f t="shared" si="37"/>
        <v>543.17548746518105</v>
      </c>
      <c r="M363" s="666">
        <v>60</v>
      </c>
      <c r="N363" s="667">
        <f t="shared" si="38"/>
        <v>325</v>
      </c>
      <c r="O363" s="668">
        <f t="shared" ca="1" si="39"/>
        <v>173</v>
      </c>
      <c r="P363" s="655">
        <f t="shared" ca="1" si="40"/>
        <v>-36725</v>
      </c>
      <c r="Q363" s="667">
        <f t="shared" ca="1" si="41"/>
        <v>1</v>
      </c>
      <c r="R363" s="669" t="s">
        <v>403</v>
      </c>
    </row>
    <row r="364" spans="2:18" ht="60" customHeight="1" x14ac:dyDescent="0.25">
      <c r="B364" s="661">
        <v>40099</v>
      </c>
      <c r="C364" s="662" t="s">
        <v>2351</v>
      </c>
      <c r="D364" s="669" t="s">
        <v>599</v>
      </c>
      <c r="E364" s="651" t="s">
        <v>621</v>
      </c>
      <c r="F364" s="663" t="s">
        <v>601</v>
      </c>
      <c r="G364" s="651" t="s">
        <v>28</v>
      </c>
      <c r="H364" s="651" t="s">
        <v>67</v>
      </c>
      <c r="I364" s="651" t="s">
        <v>508</v>
      </c>
      <c r="J364" s="670">
        <v>21090</v>
      </c>
      <c r="K364" s="665">
        <v>35.9</v>
      </c>
      <c r="L364" s="655">
        <f t="shared" si="37"/>
        <v>587.46518105849589</v>
      </c>
      <c r="M364" s="628">
        <v>60</v>
      </c>
      <c r="N364" s="667">
        <f t="shared" si="38"/>
        <v>351.5</v>
      </c>
      <c r="O364" s="668">
        <f t="shared" ca="1" si="39"/>
        <v>173</v>
      </c>
      <c r="P364" s="655">
        <f t="shared" ca="1" si="40"/>
        <v>-39719.5</v>
      </c>
      <c r="Q364" s="667">
        <f t="shared" ca="1" si="41"/>
        <v>1</v>
      </c>
      <c r="R364" s="669" t="s">
        <v>403</v>
      </c>
    </row>
    <row r="365" spans="2:18" ht="60" customHeight="1" x14ac:dyDescent="0.25">
      <c r="B365" s="661">
        <v>40099</v>
      </c>
      <c r="C365" s="662" t="s">
        <v>2351</v>
      </c>
      <c r="D365" s="669" t="s">
        <v>599</v>
      </c>
      <c r="E365" s="651" t="s">
        <v>622</v>
      </c>
      <c r="F365" s="663" t="s">
        <v>601</v>
      </c>
      <c r="G365" s="651" t="s">
        <v>28</v>
      </c>
      <c r="H365" s="651" t="s">
        <v>67</v>
      </c>
      <c r="I365" s="651" t="s">
        <v>508</v>
      </c>
      <c r="J365" s="670">
        <v>21090</v>
      </c>
      <c r="K365" s="665">
        <v>35.9</v>
      </c>
      <c r="L365" s="655">
        <f t="shared" si="37"/>
        <v>587.46518105849589</v>
      </c>
      <c r="M365" s="628">
        <v>60</v>
      </c>
      <c r="N365" s="667">
        <f t="shared" si="38"/>
        <v>351.5</v>
      </c>
      <c r="O365" s="668">
        <f t="shared" ca="1" si="39"/>
        <v>173</v>
      </c>
      <c r="P365" s="655">
        <f t="shared" ca="1" si="40"/>
        <v>-39719.5</v>
      </c>
      <c r="Q365" s="667">
        <f t="shared" ca="1" si="41"/>
        <v>1</v>
      </c>
      <c r="R365" s="669" t="s">
        <v>403</v>
      </c>
    </row>
    <row r="366" spans="2:18" ht="60" customHeight="1" x14ac:dyDescent="0.25">
      <c r="B366" s="661">
        <v>40099</v>
      </c>
      <c r="C366" s="662" t="s">
        <v>2351</v>
      </c>
      <c r="D366" s="669" t="s">
        <v>599</v>
      </c>
      <c r="E366" s="651" t="s">
        <v>623</v>
      </c>
      <c r="F366" s="663" t="s">
        <v>512</v>
      </c>
      <c r="G366" s="651" t="s">
        <v>28</v>
      </c>
      <c r="H366" s="651" t="s">
        <v>67</v>
      </c>
      <c r="I366" s="651" t="s">
        <v>508</v>
      </c>
      <c r="J366" s="670">
        <v>19500</v>
      </c>
      <c r="K366" s="665">
        <v>35.9</v>
      </c>
      <c r="L366" s="655">
        <f t="shared" si="37"/>
        <v>543.17548746518105</v>
      </c>
      <c r="M366" s="628">
        <v>60</v>
      </c>
      <c r="N366" s="667">
        <f t="shared" si="38"/>
        <v>325</v>
      </c>
      <c r="O366" s="668">
        <f t="shared" ca="1" si="39"/>
        <v>173</v>
      </c>
      <c r="P366" s="655">
        <f t="shared" ca="1" si="40"/>
        <v>-36725</v>
      </c>
      <c r="Q366" s="667">
        <f t="shared" ca="1" si="41"/>
        <v>1</v>
      </c>
      <c r="R366" s="669" t="s">
        <v>403</v>
      </c>
    </row>
    <row r="367" spans="2:18" ht="60" customHeight="1" x14ac:dyDescent="0.25">
      <c r="B367" s="661">
        <v>40113</v>
      </c>
      <c r="C367" s="662" t="s">
        <v>2351</v>
      </c>
      <c r="D367" s="669" t="s">
        <v>624</v>
      </c>
      <c r="E367" s="651" t="s">
        <v>625</v>
      </c>
      <c r="F367" s="663" t="s">
        <v>626</v>
      </c>
      <c r="G367" s="651" t="s">
        <v>28</v>
      </c>
      <c r="H367" s="651" t="s">
        <v>458</v>
      </c>
      <c r="I367" s="651" t="s">
        <v>459</v>
      </c>
      <c r="J367" s="664">
        <v>1170.1079583803903</v>
      </c>
      <c r="K367" s="665">
        <v>35.9</v>
      </c>
      <c r="L367" s="655">
        <f t="shared" si="37"/>
        <v>32.593536445136223</v>
      </c>
      <c r="M367" s="666">
        <v>60</v>
      </c>
      <c r="N367" s="667">
        <f t="shared" si="38"/>
        <v>19.501799306339837</v>
      </c>
      <c r="O367" s="668">
        <f t="shared" ca="1" si="39"/>
        <v>173</v>
      </c>
      <c r="P367" s="655">
        <f t="shared" ca="1" si="40"/>
        <v>-2203.7033216164014</v>
      </c>
      <c r="Q367" s="667">
        <f t="shared" ca="1" si="41"/>
        <v>1</v>
      </c>
      <c r="R367" s="669" t="s">
        <v>397</v>
      </c>
    </row>
    <row r="368" spans="2:18" ht="60" customHeight="1" x14ac:dyDescent="0.25">
      <c r="B368" s="661">
        <v>40113</v>
      </c>
      <c r="C368" s="662" t="s">
        <v>2351</v>
      </c>
      <c r="D368" s="669" t="s">
        <v>624</v>
      </c>
      <c r="E368" s="651" t="s">
        <v>627</v>
      </c>
      <c r="F368" s="663" t="s">
        <v>439</v>
      </c>
      <c r="G368" s="651" t="s">
        <v>28</v>
      </c>
      <c r="H368" s="651" t="s">
        <v>4433</v>
      </c>
      <c r="I368" s="651" t="s">
        <v>19</v>
      </c>
      <c r="J368" s="664">
        <v>8320.7677040383314</v>
      </c>
      <c r="K368" s="665">
        <v>35.9</v>
      </c>
      <c r="L368" s="655">
        <f t="shared" si="37"/>
        <v>231.77625916541314</v>
      </c>
      <c r="M368" s="666">
        <v>60</v>
      </c>
      <c r="N368" s="667">
        <f t="shared" si="38"/>
        <v>138.6794617339722</v>
      </c>
      <c r="O368" s="668">
        <f t="shared" ca="1" si="39"/>
        <v>173</v>
      </c>
      <c r="P368" s="655">
        <f t="shared" ca="1" si="40"/>
        <v>-15670.77917593886</v>
      </c>
      <c r="Q368" s="667">
        <f t="shared" ca="1" si="41"/>
        <v>1</v>
      </c>
      <c r="R368" s="669" t="s">
        <v>397</v>
      </c>
    </row>
    <row r="369" spans="2:19" ht="39.950000000000003" customHeight="1" x14ac:dyDescent="0.25">
      <c r="B369" s="661">
        <v>40113</v>
      </c>
      <c r="C369" s="662" t="s">
        <v>2351</v>
      </c>
      <c r="D369" s="669" t="s">
        <v>624</v>
      </c>
      <c r="E369" s="651" t="s">
        <v>628</v>
      </c>
      <c r="F369" s="663" t="s">
        <v>626</v>
      </c>
      <c r="G369" s="651" t="s">
        <v>28</v>
      </c>
      <c r="H369" s="651" t="s">
        <v>467</v>
      </c>
      <c r="I369" s="651" t="s">
        <v>468</v>
      </c>
      <c r="J369" s="664">
        <v>1170.1079583803903</v>
      </c>
      <c r="K369" s="665">
        <v>35.9</v>
      </c>
      <c r="L369" s="655">
        <f t="shared" si="37"/>
        <v>32.593536445136223</v>
      </c>
      <c r="M369" s="666">
        <v>60</v>
      </c>
      <c r="N369" s="667">
        <f t="shared" si="38"/>
        <v>19.501799306339837</v>
      </c>
      <c r="O369" s="668">
        <f t="shared" ca="1" si="39"/>
        <v>173</v>
      </c>
      <c r="P369" s="655">
        <f t="shared" ca="1" si="40"/>
        <v>-2203.7033216164014</v>
      </c>
      <c r="Q369" s="667">
        <f t="shared" ca="1" si="41"/>
        <v>1</v>
      </c>
      <c r="R369" s="669" t="s">
        <v>397</v>
      </c>
    </row>
    <row r="370" spans="2:19" ht="39.950000000000003" customHeight="1" x14ac:dyDescent="0.25">
      <c r="B370" s="661">
        <v>40113</v>
      </c>
      <c r="C370" s="662" t="s">
        <v>2351</v>
      </c>
      <c r="D370" s="669" t="s">
        <v>629</v>
      </c>
      <c r="E370" s="651" t="s">
        <v>630</v>
      </c>
      <c r="F370" s="663" t="s">
        <v>307</v>
      </c>
      <c r="G370" s="651" t="s">
        <v>28</v>
      </c>
      <c r="H370" s="651" t="s">
        <v>467</v>
      </c>
      <c r="I370" s="651" t="s">
        <v>468</v>
      </c>
      <c r="J370" s="664">
        <v>5761.2031708584318</v>
      </c>
      <c r="K370" s="665">
        <v>35.9</v>
      </c>
      <c r="L370" s="655">
        <f t="shared" si="37"/>
        <v>160.4791969598449</v>
      </c>
      <c r="M370" s="666">
        <v>60</v>
      </c>
      <c r="N370" s="667">
        <f t="shared" si="38"/>
        <v>96.020052847640528</v>
      </c>
      <c r="O370" s="668">
        <f t="shared" ca="1" si="39"/>
        <v>173</v>
      </c>
      <c r="P370" s="655">
        <f t="shared" ca="1" si="40"/>
        <v>-10850.265971783378</v>
      </c>
      <c r="Q370" s="667">
        <f t="shared" ca="1" si="41"/>
        <v>1</v>
      </c>
      <c r="R370" s="669" t="s">
        <v>631</v>
      </c>
    </row>
    <row r="371" spans="2:19" ht="39.950000000000003" customHeight="1" x14ac:dyDescent="0.25">
      <c r="B371" s="661">
        <v>40113</v>
      </c>
      <c r="C371" s="662" t="s">
        <v>2351</v>
      </c>
      <c r="D371" s="669" t="s">
        <v>629</v>
      </c>
      <c r="E371" s="651" t="s">
        <v>632</v>
      </c>
      <c r="F371" s="663" t="s">
        <v>565</v>
      </c>
      <c r="G371" s="651" t="s">
        <v>28</v>
      </c>
      <c r="H371" s="651" t="s">
        <v>467</v>
      </c>
      <c r="I371" s="651" t="s">
        <v>468</v>
      </c>
      <c r="J371" s="664">
        <v>6264.6750130190585</v>
      </c>
      <c r="K371" s="665">
        <v>35.9</v>
      </c>
      <c r="L371" s="655">
        <f t="shared" si="37"/>
        <v>174.50348225679829</v>
      </c>
      <c r="M371" s="666">
        <v>60</v>
      </c>
      <c r="N371" s="667">
        <f t="shared" si="38"/>
        <v>104.41125021698431</v>
      </c>
      <c r="O371" s="668">
        <f t="shared" ca="1" si="39"/>
        <v>173</v>
      </c>
      <c r="P371" s="655">
        <f t="shared" ca="1" si="40"/>
        <v>-11798.471274519226</v>
      </c>
      <c r="Q371" s="667">
        <f t="shared" ca="1" si="41"/>
        <v>1</v>
      </c>
      <c r="R371" s="669" t="s">
        <v>631</v>
      </c>
    </row>
    <row r="372" spans="2:19" ht="39.950000000000003" customHeight="1" x14ac:dyDescent="0.25">
      <c r="B372" s="661">
        <v>40113</v>
      </c>
      <c r="C372" s="662" t="s">
        <v>2351</v>
      </c>
      <c r="D372" s="669" t="s">
        <v>629</v>
      </c>
      <c r="E372" s="651" t="s">
        <v>633</v>
      </c>
      <c r="F372" s="663" t="s">
        <v>634</v>
      </c>
      <c r="G372" s="651" t="s">
        <v>28</v>
      </c>
      <c r="H372" s="651" t="s">
        <v>467</v>
      </c>
      <c r="I372" s="651" t="s">
        <v>468</v>
      </c>
      <c r="J372" s="664">
        <v>4430.9890629372967</v>
      </c>
      <c r="K372" s="665">
        <v>35.9</v>
      </c>
      <c r="L372" s="655">
        <f t="shared" ref="L372:L404" si="42">+J372/K372</f>
        <v>123.42587919045395</v>
      </c>
      <c r="M372" s="666">
        <v>60</v>
      </c>
      <c r="N372" s="667">
        <f t="shared" ref="N372:N404" si="43">IF(AND(J372&lt;&gt;0,M372&lt;&gt;0),J372/M372,0)</f>
        <v>73.849817715621612</v>
      </c>
      <c r="O372" s="668">
        <f t="shared" ref="O372:O404" ca="1" si="44">IF(B372&lt;&gt;0,(ROUND((NOW()-B372)/30,0)),0)</f>
        <v>173</v>
      </c>
      <c r="P372" s="655">
        <f t="shared" ca="1" si="40"/>
        <v>-8345.0294018652421</v>
      </c>
      <c r="Q372" s="667">
        <f t="shared" ca="1" si="41"/>
        <v>1</v>
      </c>
      <c r="R372" s="669" t="s">
        <v>631</v>
      </c>
    </row>
    <row r="373" spans="2:19" ht="39.950000000000003" customHeight="1" x14ac:dyDescent="0.25">
      <c r="B373" s="661">
        <v>40113</v>
      </c>
      <c r="C373" s="662" t="s">
        <v>2351</v>
      </c>
      <c r="D373" s="669" t="s">
        <v>629</v>
      </c>
      <c r="E373" s="651" t="s">
        <v>635</v>
      </c>
      <c r="F373" s="663" t="s">
        <v>408</v>
      </c>
      <c r="G373" s="651" t="s">
        <v>28</v>
      </c>
      <c r="H373" s="651" t="s">
        <v>467</v>
      </c>
      <c r="I373" s="651" t="s">
        <v>468</v>
      </c>
      <c r="J373" s="664">
        <v>5063.9875004997684</v>
      </c>
      <c r="K373" s="665">
        <v>35.9</v>
      </c>
      <c r="L373" s="655">
        <f t="shared" si="42"/>
        <v>141.0581476462331</v>
      </c>
      <c r="M373" s="666">
        <v>60</v>
      </c>
      <c r="N373" s="667">
        <f t="shared" si="43"/>
        <v>84.399791674996138</v>
      </c>
      <c r="O373" s="668">
        <f t="shared" ca="1" si="44"/>
        <v>173</v>
      </c>
      <c r="P373" s="655">
        <f t="shared" ref="P373:P404" ca="1" si="45">IF(OR(J373=0,M373=0,O373=0),0,J373-(N373*O373))</f>
        <v>-9537.176459274564</v>
      </c>
      <c r="Q373" s="667">
        <f t="shared" ca="1" si="41"/>
        <v>1</v>
      </c>
      <c r="R373" s="669" t="s">
        <v>631</v>
      </c>
    </row>
    <row r="374" spans="2:19" ht="39.950000000000003" customHeight="1" x14ac:dyDescent="0.25">
      <c r="B374" s="661">
        <v>40113</v>
      </c>
      <c r="C374" s="662" t="s">
        <v>2351</v>
      </c>
      <c r="D374" s="669" t="s">
        <v>629</v>
      </c>
      <c r="E374" s="651" t="s">
        <v>636</v>
      </c>
      <c r="F374" s="663" t="s">
        <v>439</v>
      </c>
      <c r="G374" s="651" t="s">
        <v>28</v>
      </c>
      <c r="H374" s="651" t="s">
        <v>608</v>
      </c>
      <c r="I374" s="651" t="s">
        <v>609</v>
      </c>
      <c r="J374" s="664">
        <v>8320.7677040383314</v>
      </c>
      <c r="K374" s="665">
        <v>35.9</v>
      </c>
      <c r="L374" s="655">
        <f t="shared" si="42"/>
        <v>231.77625916541314</v>
      </c>
      <c r="M374" s="666">
        <v>60</v>
      </c>
      <c r="N374" s="667">
        <f t="shared" si="43"/>
        <v>138.6794617339722</v>
      </c>
      <c r="O374" s="668">
        <f t="shared" ca="1" si="44"/>
        <v>173</v>
      </c>
      <c r="P374" s="655">
        <f t="shared" ca="1" si="45"/>
        <v>-15670.77917593886</v>
      </c>
      <c r="Q374" s="667">
        <f t="shared" ca="1" si="41"/>
        <v>1</v>
      </c>
      <c r="R374" s="669" t="s">
        <v>397</v>
      </c>
      <c r="S374" s="417"/>
    </row>
    <row r="375" spans="2:19" ht="39.950000000000003" customHeight="1" x14ac:dyDescent="0.25">
      <c r="B375" s="661">
        <v>40113</v>
      </c>
      <c r="C375" s="662" t="s">
        <v>2351</v>
      </c>
      <c r="D375" s="669" t="s">
        <v>629</v>
      </c>
      <c r="E375" s="651" t="s">
        <v>637</v>
      </c>
      <c r="F375" s="663" t="s">
        <v>399</v>
      </c>
      <c r="G375" s="651" t="s">
        <v>28</v>
      </c>
      <c r="H375" s="651" t="s">
        <v>608</v>
      </c>
      <c r="I375" s="651" t="s">
        <v>609</v>
      </c>
      <c r="J375" s="664">
        <v>27359.724306841039</v>
      </c>
      <c r="K375" s="665">
        <v>35.9</v>
      </c>
      <c r="L375" s="655">
        <f t="shared" si="42"/>
        <v>762.10931216827407</v>
      </c>
      <c r="M375" s="666">
        <v>60</v>
      </c>
      <c r="N375" s="667">
        <f t="shared" si="43"/>
        <v>455.99540511401733</v>
      </c>
      <c r="O375" s="668">
        <f t="shared" ca="1" si="44"/>
        <v>173</v>
      </c>
      <c r="P375" s="655">
        <f t="shared" ca="1" si="45"/>
        <v>-51527.480777883953</v>
      </c>
      <c r="Q375" s="667">
        <f t="shared" ca="1" si="41"/>
        <v>1</v>
      </c>
      <c r="R375" s="669" t="s">
        <v>397</v>
      </c>
    </row>
    <row r="376" spans="2:19" ht="39.950000000000003" customHeight="1" x14ac:dyDescent="0.25">
      <c r="B376" s="661">
        <v>40113</v>
      </c>
      <c r="C376" s="662" t="s">
        <v>2351</v>
      </c>
      <c r="D376" s="669" t="s">
        <v>629</v>
      </c>
      <c r="E376" s="651" t="s">
        <v>638</v>
      </c>
      <c r="F376" s="663" t="s">
        <v>634</v>
      </c>
      <c r="G376" s="651" t="s">
        <v>28</v>
      </c>
      <c r="H376" s="651" t="s">
        <v>608</v>
      </c>
      <c r="I376" s="651" t="s">
        <v>609</v>
      </c>
      <c r="J376" s="664">
        <v>4430.9890629372967</v>
      </c>
      <c r="K376" s="665">
        <v>35.9</v>
      </c>
      <c r="L376" s="655">
        <f t="shared" si="42"/>
        <v>123.42587919045395</v>
      </c>
      <c r="M376" s="666">
        <v>60</v>
      </c>
      <c r="N376" s="667">
        <f t="shared" si="43"/>
        <v>73.849817715621612</v>
      </c>
      <c r="O376" s="668">
        <f t="shared" ca="1" si="44"/>
        <v>173</v>
      </c>
      <c r="P376" s="655">
        <f t="shared" ca="1" si="45"/>
        <v>-8345.0294018652421</v>
      </c>
      <c r="Q376" s="667">
        <f t="shared" ca="1" si="41"/>
        <v>1</v>
      </c>
      <c r="R376" s="669" t="s">
        <v>631</v>
      </c>
    </row>
    <row r="377" spans="2:19" ht="39.950000000000003" customHeight="1" x14ac:dyDescent="0.25">
      <c r="B377" s="661">
        <v>40113</v>
      </c>
      <c r="C377" s="662" t="s">
        <v>2351</v>
      </c>
      <c r="D377" s="669" t="s">
        <v>629</v>
      </c>
      <c r="E377" s="651" t="s">
        <v>639</v>
      </c>
      <c r="F377" s="663" t="s">
        <v>424</v>
      </c>
      <c r="G377" s="651" t="s">
        <v>28</v>
      </c>
      <c r="H377" s="651" t="s">
        <v>478</v>
      </c>
      <c r="I377" s="651" t="s">
        <v>479</v>
      </c>
      <c r="J377" s="664">
        <v>2767.9702381797028</v>
      </c>
      <c r="K377" s="665">
        <v>35.9</v>
      </c>
      <c r="L377" s="655">
        <f t="shared" si="42"/>
        <v>77.10223504678838</v>
      </c>
      <c r="M377" s="666">
        <v>60</v>
      </c>
      <c r="N377" s="667">
        <f t="shared" si="43"/>
        <v>46.13283730299505</v>
      </c>
      <c r="O377" s="668">
        <f t="shared" ca="1" si="44"/>
        <v>173</v>
      </c>
      <c r="P377" s="655">
        <f t="shared" ca="1" si="45"/>
        <v>-5213.0106152384415</v>
      </c>
      <c r="Q377" s="667">
        <f t="shared" ca="1" si="41"/>
        <v>1</v>
      </c>
      <c r="R377" s="669" t="s">
        <v>631</v>
      </c>
    </row>
    <row r="378" spans="2:19" ht="39.950000000000003" customHeight="1" x14ac:dyDescent="0.25">
      <c r="B378" s="661">
        <v>40113</v>
      </c>
      <c r="C378" s="662" t="s">
        <v>2351</v>
      </c>
      <c r="D378" s="669" t="s">
        <v>629</v>
      </c>
      <c r="E378" s="651" t="s">
        <v>640</v>
      </c>
      <c r="F378" s="663" t="s">
        <v>626</v>
      </c>
      <c r="G378" s="651" t="s">
        <v>28</v>
      </c>
      <c r="H378" s="651" t="s">
        <v>481</v>
      </c>
      <c r="I378" s="651" t="s">
        <v>482</v>
      </c>
      <c r="J378" s="664">
        <v>1170.1079583803903</v>
      </c>
      <c r="K378" s="665">
        <v>35.9</v>
      </c>
      <c r="L378" s="655">
        <f t="shared" si="42"/>
        <v>32.593536445136223</v>
      </c>
      <c r="M378" s="666">
        <v>60</v>
      </c>
      <c r="N378" s="667">
        <f t="shared" si="43"/>
        <v>19.501799306339837</v>
      </c>
      <c r="O378" s="668">
        <f t="shared" ca="1" si="44"/>
        <v>173</v>
      </c>
      <c r="P378" s="655">
        <f t="shared" ca="1" si="45"/>
        <v>-2203.7033216164014</v>
      </c>
      <c r="Q378" s="667">
        <f t="shared" ca="1" si="41"/>
        <v>1</v>
      </c>
      <c r="R378" s="669" t="s">
        <v>397</v>
      </c>
    </row>
    <row r="379" spans="2:19" ht="39.950000000000003" customHeight="1" x14ac:dyDescent="0.25">
      <c r="B379" s="661">
        <v>40113</v>
      </c>
      <c r="C379" s="662" t="s">
        <v>2351</v>
      </c>
      <c r="D379" s="669" t="s">
        <v>629</v>
      </c>
      <c r="E379" s="651" t="s">
        <v>641</v>
      </c>
      <c r="F379" s="663" t="s">
        <v>642</v>
      </c>
      <c r="G379" s="651" t="s">
        <v>28</v>
      </c>
      <c r="H379" s="651" t="s">
        <v>481</v>
      </c>
      <c r="I379" s="651" t="s">
        <v>482</v>
      </c>
      <c r="J379" s="664">
        <v>8295.6542131795995</v>
      </c>
      <c r="K379" s="665">
        <v>35.9</v>
      </c>
      <c r="L379" s="655">
        <f t="shared" si="42"/>
        <v>231.07671903007241</v>
      </c>
      <c r="M379" s="666">
        <v>60</v>
      </c>
      <c r="N379" s="667">
        <f t="shared" si="43"/>
        <v>138.26090355299331</v>
      </c>
      <c r="O379" s="668">
        <f t="shared" ca="1" si="44"/>
        <v>173</v>
      </c>
      <c r="P379" s="655">
        <f t="shared" ca="1" si="45"/>
        <v>-15623.482101488242</v>
      </c>
      <c r="Q379" s="667">
        <f t="shared" ca="1" si="41"/>
        <v>1</v>
      </c>
      <c r="R379" s="669" t="s">
        <v>631</v>
      </c>
    </row>
    <row r="380" spans="2:19" ht="39.950000000000003" customHeight="1" x14ac:dyDescent="0.25">
      <c r="B380" s="661">
        <v>40113</v>
      </c>
      <c r="C380" s="662" t="s">
        <v>2351</v>
      </c>
      <c r="D380" s="669" t="s">
        <v>629</v>
      </c>
      <c r="E380" s="651" t="s">
        <v>643</v>
      </c>
      <c r="F380" s="663" t="s">
        <v>626</v>
      </c>
      <c r="G380" s="651" t="s">
        <v>28</v>
      </c>
      <c r="H380" s="651" t="s">
        <v>488</v>
      </c>
      <c r="I380" s="651" t="s">
        <v>489</v>
      </c>
      <c r="J380" s="664">
        <v>1170.1079583803903</v>
      </c>
      <c r="K380" s="665">
        <v>35.9</v>
      </c>
      <c r="L380" s="655">
        <f t="shared" si="42"/>
        <v>32.593536445136223</v>
      </c>
      <c r="M380" s="666">
        <v>60</v>
      </c>
      <c r="N380" s="667">
        <f t="shared" si="43"/>
        <v>19.501799306339837</v>
      </c>
      <c r="O380" s="668">
        <f t="shared" ca="1" si="44"/>
        <v>173</v>
      </c>
      <c r="P380" s="655">
        <f t="shared" ca="1" si="45"/>
        <v>-2203.7033216164014</v>
      </c>
      <c r="Q380" s="667">
        <f t="shared" ca="1" si="41"/>
        <v>1</v>
      </c>
      <c r="R380" s="669" t="s">
        <v>397</v>
      </c>
    </row>
    <row r="381" spans="2:19" ht="39.950000000000003" customHeight="1" x14ac:dyDescent="0.25">
      <c r="B381" s="661">
        <v>40113</v>
      </c>
      <c r="C381" s="662" t="s">
        <v>2351</v>
      </c>
      <c r="D381" s="669" t="s">
        <v>629</v>
      </c>
      <c r="E381" s="651" t="s">
        <v>644</v>
      </c>
      <c r="F381" s="663" t="s">
        <v>626</v>
      </c>
      <c r="G381" s="651" t="s">
        <v>28</v>
      </c>
      <c r="H381" s="651" t="s">
        <v>488</v>
      </c>
      <c r="I381" s="651" t="s">
        <v>489</v>
      </c>
      <c r="J381" s="664">
        <v>1170.1079583803903</v>
      </c>
      <c r="K381" s="665">
        <v>35.9</v>
      </c>
      <c r="L381" s="655">
        <f t="shared" si="42"/>
        <v>32.593536445136223</v>
      </c>
      <c r="M381" s="666">
        <v>60</v>
      </c>
      <c r="N381" s="667">
        <f t="shared" si="43"/>
        <v>19.501799306339837</v>
      </c>
      <c r="O381" s="668">
        <f t="shared" ca="1" si="44"/>
        <v>173</v>
      </c>
      <c r="P381" s="655">
        <f t="shared" ca="1" si="45"/>
        <v>-2203.7033216164014</v>
      </c>
      <c r="Q381" s="667">
        <f t="shared" ca="1" si="41"/>
        <v>1</v>
      </c>
      <c r="R381" s="669" t="s">
        <v>397</v>
      </c>
    </row>
    <row r="382" spans="2:19" ht="39.950000000000003" customHeight="1" x14ac:dyDescent="0.25">
      <c r="B382" s="661">
        <v>40113</v>
      </c>
      <c r="C382" s="662" t="s">
        <v>2351</v>
      </c>
      <c r="D382" s="669" t="s">
        <v>629</v>
      </c>
      <c r="E382" s="651" t="s">
        <v>645</v>
      </c>
      <c r="F382" s="663" t="s">
        <v>307</v>
      </c>
      <c r="G382" s="651" t="s">
        <v>28</v>
      </c>
      <c r="H382" s="651" t="s">
        <v>488</v>
      </c>
      <c r="I382" s="651" t="s">
        <v>489</v>
      </c>
      <c r="J382" s="664">
        <v>5761.2031708584318</v>
      </c>
      <c r="K382" s="665">
        <v>35.9</v>
      </c>
      <c r="L382" s="655">
        <f t="shared" si="42"/>
        <v>160.4791969598449</v>
      </c>
      <c r="M382" s="666">
        <v>60</v>
      </c>
      <c r="N382" s="667">
        <f t="shared" si="43"/>
        <v>96.020052847640528</v>
      </c>
      <c r="O382" s="668">
        <f t="shared" ca="1" si="44"/>
        <v>173</v>
      </c>
      <c r="P382" s="655">
        <f t="shared" ca="1" si="45"/>
        <v>-10850.265971783378</v>
      </c>
      <c r="Q382" s="667">
        <f t="shared" ca="1" si="41"/>
        <v>1</v>
      </c>
      <c r="R382" s="669" t="s">
        <v>631</v>
      </c>
    </row>
    <row r="383" spans="2:19" ht="39.950000000000003" customHeight="1" x14ac:dyDescent="0.25">
      <c r="B383" s="661">
        <v>40113</v>
      </c>
      <c r="C383" s="662" t="s">
        <v>2351</v>
      </c>
      <c r="D383" s="669" t="s">
        <v>629</v>
      </c>
      <c r="E383" s="651" t="s">
        <v>646</v>
      </c>
      <c r="F383" s="663" t="s">
        <v>307</v>
      </c>
      <c r="G383" s="651" t="s">
        <v>28</v>
      </c>
      <c r="H383" s="651" t="s">
        <v>488</v>
      </c>
      <c r="I383" s="651" t="s">
        <v>489</v>
      </c>
      <c r="J383" s="664">
        <v>5761.2031708584318</v>
      </c>
      <c r="K383" s="665">
        <v>35.9</v>
      </c>
      <c r="L383" s="655">
        <f t="shared" si="42"/>
        <v>160.4791969598449</v>
      </c>
      <c r="M383" s="666">
        <v>60</v>
      </c>
      <c r="N383" s="667">
        <f t="shared" si="43"/>
        <v>96.020052847640528</v>
      </c>
      <c r="O383" s="668">
        <f t="shared" ca="1" si="44"/>
        <v>173</v>
      </c>
      <c r="P383" s="655">
        <f t="shared" ca="1" si="45"/>
        <v>-10850.265971783378</v>
      </c>
      <c r="Q383" s="667">
        <f t="shared" ca="1" si="41"/>
        <v>1</v>
      </c>
      <c r="R383" s="669" t="s">
        <v>631</v>
      </c>
    </row>
    <row r="384" spans="2:19" ht="39.950000000000003" customHeight="1" x14ac:dyDescent="0.25">
      <c r="B384" s="661">
        <v>40113</v>
      </c>
      <c r="C384" s="662" t="s">
        <v>2351</v>
      </c>
      <c r="D384" s="669" t="s">
        <v>629</v>
      </c>
      <c r="E384" s="651" t="s">
        <v>647</v>
      </c>
      <c r="F384" s="663" t="s">
        <v>591</v>
      </c>
      <c r="G384" s="651" t="s">
        <v>28</v>
      </c>
      <c r="H384" s="651" t="s">
        <v>488</v>
      </c>
      <c r="I384" s="651" t="s">
        <v>489</v>
      </c>
      <c r="J384" s="664">
        <v>4406.1649523682927</v>
      </c>
      <c r="K384" s="665">
        <v>35.9</v>
      </c>
      <c r="L384" s="655">
        <f t="shared" si="42"/>
        <v>122.73439978741763</v>
      </c>
      <c r="M384" s="666">
        <v>60</v>
      </c>
      <c r="N384" s="667">
        <f t="shared" si="43"/>
        <v>73.436082539471542</v>
      </c>
      <c r="O384" s="668">
        <f t="shared" ca="1" si="44"/>
        <v>173</v>
      </c>
      <c r="P384" s="655">
        <f t="shared" ca="1" si="45"/>
        <v>-8298.277326960284</v>
      </c>
      <c r="Q384" s="667">
        <f t="shared" ca="1" si="41"/>
        <v>1</v>
      </c>
      <c r="R384" s="669" t="s">
        <v>631</v>
      </c>
    </row>
    <row r="385" spans="2:18" ht="39.950000000000003" customHeight="1" x14ac:dyDescent="0.25">
      <c r="B385" s="661">
        <v>40113</v>
      </c>
      <c r="C385" s="662" t="s">
        <v>2351</v>
      </c>
      <c r="D385" s="669" t="s">
        <v>629</v>
      </c>
      <c r="E385" s="651" t="s">
        <v>648</v>
      </c>
      <c r="F385" s="663" t="s">
        <v>591</v>
      </c>
      <c r="G385" s="651" t="s">
        <v>28</v>
      </c>
      <c r="H385" s="651" t="s">
        <v>488</v>
      </c>
      <c r="I385" s="651" t="s">
        <v>489</v>
      </c>
      <c r="J385" s="664">
        <v>4406.1649523682927</v>
      </c>
      <c r="K385" s="665">
        <v>35.9</v>
      </c>
      <c r="L385" s="655">
        <f t="shared" si="42"/>
        <v>122.73439978741763</v>
      </c>
      <c r="M385" s="666">
        <v>60</v>
      </c>
      <c r="N385" s="667">
        <f t="shared" si="43"/>
        <v>73.436082539471542</v>
      </c>
      <c r="O385" s="668">
        <f t="shared" ca="1" si="44"/>
        <v>173</v>
      </c>
      <c r="P385" s="655">
        <f t="shared" ca="1" si="45"/>
        <v>-8298.277326960284</v>
      </c>
      <c r="Q385" s="667">
        <f t="shared" ca="1" si="41"/>
        <v>1</v>
      </c>
      <c r="R385" s="669" t="s">
        <v>631</v>
      </c>
    </row>
    <row r="386" spans="2:18" ht="39.950000000000003" customHeight="1" x14ac:dyDescent="0.25">
      <c r="B386" s="661">
        <v>40113</v>
      </c>
      <c r="C386" s="662" t="s">
        <v>2351</v>
      </c>
      <c r="D386" s="669" t="s">
        <v>629</v>
      </c>
      <c r="E386" s="651" t="s">
        <v>649</v>
      </c>
      <c r="F386" s="663" t="s">
        <v>591</v>
      </c>
      <c r="G386" s="651" t="s">
        <v>28</v>
      </c>
      <c r="H386" s="651" t="s">
        <v>488</v>
      </c>
      <c r="I386" s="651" t="s">
        <v>489</v>
      </c>
      <c r="J386" s="664">
        <v>4406.1649523682927</v>
      </c>
      <c r="K386" s="665">
        <v>35.9</v>
      </c>
      <c r="L386" s="655">
        <f t="shared" si="42"/>
        <v>122.73439978741763</v>
      </c>
      <c r="M386" s="666">
        <v>60</v>
      </c>
      <c r="N386" s="667">
        <f t="shared" si="43"/>
        <v>73.436082539471542</v>
      </c>
      <c r="O386" s="668">
        <f t="shared" ca="1" si="44"/>
        <v>173</v>
      </c>
      <c r="P386" s="655">
        <f t="shared" ca="1" si="45"/>
        <v>-8298.277326960284</v>
      </c>
      <c r="Q386" s="667">
        <f t="shared" ca="1" si="41"/>
        <v>1</v>
      </c>
      <c r="R386" s="669" t="s">
        <v>631</v>
      </c>
    </row>
    <row r="387" spans="2:18" ht="39.950000000000003" customHeight="1" x14ac:dyDescent="0.25">
      <c r="B387" s="661">
        <v>40113</v>
      </c>
      <c r="C387" s="662" t="s">
        <v>2351</v>
      </c>
      <c r="D387" s="669" t="s">
        <v>629</v>
      </c>
      <c r="E387" s="651" t="s">
        <v>650</v>
      </c>
      <c r="F387" s="663" t="s">
        <v>408</v>
      </c>
      <c r="G387" s="651" t="s">
        <v>28</v>
      </c>
      <c r="H387" s="651" t="s">
        <v>488</v>
      </c>
      <c r="I387" s="651" t="s">
        <v>489</v>
      </c>
      <c r="J387" s="664">
        <v>5063.9875004997684</v>
      </c>
      <c r="K387" s="665">
        <v>35.9</v>
      </c>
      <c r="L387" s="655">
        <f t="shared" si="42"/>
        <v>141.0581476462331</v>
      </c>
      <c r="M387" s="666">
        <v>60</v>
      </c>
      <c r="N387" s="667">
        <f t="shared" si="43"/>
        <v>84.399791674996138</v>
      </c>
      <c r="O387" s="668">
        <f t="shared" ca="1" si="44"/>
        <v>173</v>
      </c>
      <c r="P387" s="655">
        <f t="shared" ca="1" si="45"/>
        <v>-9537.176459274564</v>
      </c>
      <c r="Q387" s="667">
        <f t="shared" ca="1" si="41"/>
        <v>1</v>
      </c>
      <c r="R387" s="669" t="s">
        <v>631</v>
      </c>
    </row>
    <row r="388" spans="2:18" ht="39.950000000000003" customHeight="1" x14ac:dyDescent="0.25">
      <c r="B388" s="661">
        <v>40113</v>
      </c>
      <c r="C388" s="662" t="s">
        <v>2351</v>
      </c>
      <c r="D388" s="669" t="s">
        <v>629</v>
      </c>
      <c r="E388" s="651" t="s">
        <v>651</v>
      </c>
      <c r="F388" s="663" t="s">
        <v>642</v>
      </c>
      <c r="G388" s="651" t="s">
        <v>28</v>
      </c>
      <c r="H388" s="651" t="s">
        <v>488</v>
      </c>
      <c r="I388" s="651" t="s">
        <v>489</v>
      </c>
      <c r="J388" s="664">
        <v>8295.6542131795995</v>
      </c>
      <c r="K388" s="665">
        <v>35.9</v>
      </c>
      <c r="L388" s="655">
        <f t="shared" si="42"/>
        <v>231.07671903007241</v>
      </c>
      <c r="M388" s="666">
        <v>60</v>
      </c>
      <c r="N388" s="667">
        <f t="shared" si="43"/>
        <v>138.26090355299331</v>
      </c>
      <c r="O388" s="668">
        <f t="shared" ca="1" si="44"/>
        <v>173</v>
      </c>
      <c r="P388" s="655">
        <f t="shared" ca="1" si="45"/>
        <v>-15623.482101488242</v>
      </c>
      <c r="Q388" s="667">
        <f t="shared" ca="1" si="41"/>
        <v>1</v>
      </c>
      <c r="R388" s="669" t="s">
        <v>631</v>
      </c>
    </row>
    <row r="389" spans="2:18" ht="39.950000000000003" customHeight="1" x14ac:dyDescent="0.25">
      <c r="B389" s="661">
        <v>40113</v>
      </c>
      <c r="C389" s="662" t="s">
        <v>2351</v>
      </c>
      <c r="D389" s="669" t="s">
        <v>629</v>
      </c>
      <c r="E389" s="651" t="s">
        <v>652</v>
      </c>
      <c r="F389" s="663" t="s">
        <v>424</v>
      </c>
      <c r="G389" s="651" t="s">
        <v>28</v>
      </c>
      <c r="H389" s="651" t="s">
        <v>488</v>
      </c>
      <c r="I389" s="651" t="s">
        <v>489</v>
      </c>
      <c r="J389" s="664">
        <v>2767.9702381797028</v>
      </c>
      <c r="K389" s="665">
        <v>35.9</v>
      </c>
      <c r="L389" s="655">
        <f t="shared" si="42"/>
        <v>77.10223504678838</v>
      </c>
      <c r="M389" s="666">
        <v>60</v>
      </c>
      <c r="N389" s="667">
        <f t="shared" si="43"/>
        <v>46.13283730299505</v>
      </c>
      <c r="O389" s="668">
        <f t="shared" ca="1" si="44"/>
        <v>173</v>
      </c>
      <c r="P389" s="655">
        <f t="shared" ca="1" si="45"/>
        <v>-5213.0106152384415</v>
      </c>
      <c r="Q389" s="667">
        <f t="shared" ca="1" si="41"/>
        <v>1</v>
      </c>
      <c r="R389" s="669" t="s">
        <v>631</v>
      </c>
    </row>
    <row r="390" spans="2:18" ht="59.25" customHeight="1" x14ac:dyDescent="0.25">
      <c r="B390" s="661">
        <v>40113</v>
      </c>
      <c r="C390" s="662" t="s">
        <v>2351</v>
      </c>
      <c r="D390" s="669" t="s">
        <v>629</v>
      </c>
      <c r="E390" s="651" t="s">
        <v>653</v>
      </c>
      <c r="F390" s="663" t="s">
        <v>439</v>
      </c>
      <c r="G390" s="651" t="s">
        <v>28</v>
      </c>
      <c r="H390" s="651" t="s">
        <v>67</v>
      </c>
      <c r="I390" s="651" t="s">
        <v>4431</v>
      </c>
      <c r="J390" s="664">
        <v>8320.7677040383314</v>
      </c>
      <c r="K390" s="665">
        <v>35.9</v>
      </c>
      <c r="L390" s="655">
        <f t="shared" si="42"/>
        <v>231.77625916541314</v>
      </c>
      <c r="M390" s="666">
        <v>60</v>
      </c>
      <c r="N390" s="667">
        <f t="shared" si="43"/>
        <v>138.6794617339722</v>
      </c>
      <c r="O390" s="668">
        <f t="shared" ca="1" si="44"/>
        <v>173</v>
      </c>
      <c r="P390" s="655">
        <f t="shared" ca="1" si="45"/>
        <v>-15670.77917593886</v>
      </c>
      <c r="Q390" s="667">
        <f t="shared" ca="1" si="41"/>
        <v>1</v>
      </c>
      <c r="R390" s="669" t="s">
        <v>397</v>
      </c>
    </row>
    <row r="391" spans="2:18" ht="63.75" customHeight="1" x14ac:dyDescent="0.25">
      <c r="B391" s="661">
        <v>40113</v>
      </c>
      <c r="C391" s="662" t="s">
        <v>2351</v>
      </c>
      <c r="D391" s="669" t="s">
        <v>629</v>
      </c>
      <c r="E391" s="651" t="s">
        <v>654</v>
      </c>
      <c r="F391" s="663" t="s">
        <v>439</v>
      </c>
      <c r="G391" s="651" t="s">
        <v>28</v>
      </c>
      <c r="H391" s="651" t="s">
        <v>67</v>
      </c>
      <c r="I391" s="651" t="s">
        <v>4431</v>
      </c>
      <c r="J391" s="664">
        <v>8320.7677040383314</v>
      </c>
      <c r="K391" s="665">
        <v>35.9</v>
      </c>
      <c r="L391" s="655">
        <f t="shared" si="42"/>
        <v>231.77625916541314</v>
      </c>
      <c r="M391" s="666">
        <v>60</v>
      </c>
      <c r="N391" s="667">
        <f t="shared" si="43"/>
        <v>138.6794617339722</v>
      </c>
      <c r="O391" s="668">
        <f t="shared" ca="1" si="44"/>
        <v>173</v>
      </c>
      <c r="P391" s="655">
        <f t="shared" ca="1" si="45"/>
        <v>-15670.77917593886</v>
      </c>
      <c r="Q391" s="667">
        <f t="shared" ca="1" si="41"/>
        <v>1</v>
      </c>
      <c r="R391" s="669" t="s">
        <v>397</v>
      </c>
    </row>
    <row r="392" spans="2:18" ht="60" customHeight="1" x14ac:dyDescent="0.25">
      <c r="B392" s="661">
        <v>40113</v>
      </c>
      <c r="C392" s="662" t="s">
        <v>2351</v>
      </c>
      <c r="D392" s="669" t="s">
        <v>629</v>
      </c>
      <c r="E392" s="651" t="s">
        <v>655</v>
      </c>
      <c r="F392" s="663" t="s">
        <v>626</v>
      </c>
      <c r="G392" s="651" t="s">
        <v>28</v>
      </c>
      <c r="H392" s="651" t="s">
        <v>67</v>
      </c>
      <c r="I392" s="651" t="s">
        <v>498</v>
      </c>
      <c r="J392" s="664">
        <v>1170.1079583803903</v>
      </c>
      <c r="K392" s="665">
        <v>35.9</v>
      </c>
      <c r="L392" s="655">
        <f t="shared" si="42"/>
        <v>32.593536445136223</v>
      </c>
      <c r="M392" s="666">
        <v>60</v>
      </c>
      <c r="N392" s="667">
        <f t="shared" si="43"/>
        <v>19.501799306339837</v>
      </c>
      <c r="O392" s="668">
        <f t="shared" ca="1" si="44"/>
        <v>173</v>
      </c>
      <c r="P392" s="655">
        <f t="shared" ca="1" si="45"/>
        <v>-2203.7033216164014</v>
      </c>
      <c r="Q392" s="667">
        <f t="shared" ref="Q392:Q455" ca="1" si="46">IF(P392&lt;1,1,P392)</f>
        <v>1</v>
      </c>
      <c r="R392" s="669" t="s">
        <v>397</v>
      </c>
    </row>
    <row r="393" spans="2:18" ht="60" customHeight="1" x14ac:dyDescent="0.25">
      <c r="B393" s="661">
        <v>40113</v>
      </c>
      <c r="C393" s="662" t="s">
        <v>2351</v>
      </c>
      <c r="D393" s="669" t="s">
        <v>629</v>
      </c>
      <c r="E393" s="651" t="s">
        <v>656</v>
      </c>
      <c r="F393" s="663" t="s">
        <v>626</v>
      </c>
      <c r="G393" s="651" t="s">
        <v>28</v>
      </c>
      <c r="H393" s="651" t="s">
        <v>67</v>
      </c>
      <c r="I393" s="651" t="s">
        <v>498</v>
      </c>
      <c r="J393" s="664">
        <v>1170.1079583803903</v>
      </c>
      <c r="K393" s="665">
        <v>35.9</v>
      </c>
      <c r="L393" s="655">
        <f t="shared" si="42"/>
        <v>32.593536445136223</v>
      </c>
      <c r="M393" s="666">
        <v>60</v>
      </c>
      <c r="N393" s="667">
        <f t="shared" si="43"/>
        <v>19.501799306339837</v>
      </c>
      <c r="O393" s="668">
        <f t="shared" ca="1" si="44"/>
        <v>173</v>
      </c>
      <c r="P393" s="655">
        <f t="shared" ca="1" si="45"/>
        <v>-2203.7033216164014</v>
      </c>
      <c r="Q393" s="667">
        <f t="shared" ca="1" si="46"/>
        <v>1</v>
      </c>
      <c r="R393" s="669" t="s">
        <v>397</v>
      </c>
    </row>
    <row r="394" spans="2:18" ht="60" customHeight="1" x14ac:dyDescent="0.25">
      <c r="B394" s="661">
        <v>40113</v>
      </c>
      <c r="C394" s="662" t="s">
        <v>2351</v>
      </c>
      <c r="D394" s="669" t="s">
        <v>629</v>
      </c>
      <c r="E394" s="651" t="s">
        <v>657</v>
      </c>
      <c r="F394" s="663" t="s">
        <v>307</v>
      </c>
      <c r="G394" s="651" t="s">
        <v>28</v>
      </c>
      <c r="H394" s="651" t="s">
        <v>67</v>
      </c>
      <c r="I394" s="651" t="s">
        <v>498</v>
      </c>
      <c r="J394" s="664">
        <v>5761.2031708584318</v>
      </c>
      <c r="K394" s="665">
        <v>35.9</v>
      </c>
      <c r="L394" s="655">
        <f t="shared" si="42"/>
        <v>160.4791969598449</v>
      </c>
      <c r="M394" s="666">
        <v>60</v>
      </c>
      <c r="N394" s="667">
        <f t="shared" si="43"/>
        <v>96.020052847640528</v>
      </c>
      <c r="O394" s="668">
        <f t="shared" ca="1" si="44"/>
        <v>173</v>
      </c>
      <c r="P394" s="655">
        <f t="shared" ca="1" si="45"/>
        <v>-10850.265971783378</v>
      </c>
      <c r="Q394" s="667">
        <f t="shared" ca="1" si="46"/>
        <v>1</v>
      </c>
      <c r="R394" s="669" t="s">
        <v>631</v>
      </c>
    </row>
    <row r="395" spans="2:18" ht="60" customHeight="1" x14ac:dyDescent="0.25">
      <c r="B395" s="661">
        <v>40113</v>
      </c>
      <c r="C395" s="662" t="s">
        <v>2351</v>
      </c>
      <c r="D395" s="669" t="s">
        <v>629</v>
      </c>
      <c r="E395" s="651" t="s">
        <v>658</v>
      </c>
      <c r="F395" s="663" t="s">
        <v>307</v>
      </c>
      <c r="G395" s="651" t="s">
        <v>28</v>
      </c>
      <c r="H395" s="651" t="s">
        <v>67</v>
      </c>
      <c r="I395" s="651" t="s">
        <v>498</v>
      </c>
      <c r="J395" s="664">
        <v>5761.2031708584318</v>
      </c>
      <c r="K395" s="665">
        <v>35.9</v>
      </c>
      <c r="L395" s="655">
        <f t="shared" si="42"/>
        <v>160.4791969598449</v>
      </c>
      <c r="M395" s="666">
        <v>60</v>
      </c>
      <c r="N395" s="667">
        <f t="shared" si="43"/>
        <v>96.020052847640528</v>
      </c>
      <c r="O395" s="668">
        <f t="shared" ca="1" si="44"/>
        <v>173</v>
      </c>
      <c r="P395" s="655">
        <f t="shared" ca="1" si="45"/>
        <v>-10850.265971783378</v>
      </c>
      <c r="Q395" s="667">
        <f t="shared" ca="1" si="46"/>
        <v>1</v>
      </c>
      <c r="R395" s="669" t="s">
        <v>631</v>
      </c>
    </row>
    <row r="396" spans="2:18" ht="60" customHeight="1" x14ac:dyDescent="0.25">
      <c r="B396" s="661">
        <v>40113</v>
      </c>
      <c r="C396" s="662" t="s">
        <v>2351</v>
      </c>
      <c r="D396" s="669" t="s">
        <v>629</v>
      </c>
      <c r="E396" s="651" t="s">
        <v>659</v>
      </c>
      <c r="F396" s="663" t="s">
        <v>660</v>
      </c>
      <c r="G396" s="651" t="s">
        <v>28</v>
      </c>
      <c r="H396" s="651" t="s">
        <v>67</v>
      </c>
      <c r="I396" s="651" t="s">
        <v>498</v>
      </c>
      <c r="J396" s="664">
        <v>15906.870674771206</v>
      </c>
      <c r="K396" s="665">
        <v>35.9</v>
      </c>
      <c r="L396" s="655">
        <f t="shared" si="42"/>
        <v>443.08831963150993</v>
      </c>
      <c r="M396" s="666">
        <v>60</v>
      </c>
      <c r="N396" s="667">
        <f t="shared" si="43"/>
        <v>265.11451124618674</v>
      </c>
      <c r="O396" s="668">
        <f t="shared" ca="1" si="44"/>
        <v>173</v>
      </c>
      <c r="P396" s="655">
        <f t="shared" ca="1" si="45"/>
        <v>-29957.939770819103</v>
      </c>
      <c r="Q396" s="667">
        <f t="shared" ca="1" si="46"/>
        <v>1</v>
      </c>
      <c r="R396" s="669" t="s">
        <v>631</v>
      </c>
    </row>
    <row r="397" spans="2:18" ht="60" customHeight="1" x14ac:dyDescent="0.25">
      <c r="B397" s="661">
        <v>40113</v>
      </c>
      <c r="C397" s="662" t="s">
        <v>2351</v>
      </c>
      <c r="D397" s="669" t="s">
        <v>629</v>
      </c>
      <c r="E397" s="651" t="s">
        <v>661</v>
      </c>
      <c r="F397" s="663" t="s">
        <v>660</v>
      </c>
      <c r="G397" s="651" t="s">
        <v>28</v>
      </c>
      <c r="H397" s="651" t="s">
        <v>67</v>
      </c>
      <c r="I397" s="651" t="s">
        <v>498</v>
      </c>
      <c r="J397" s="664">
        <v>15906.870674771206</v>
      </c>
      <c r="K397" s="665">
        <v>35.9</v>
      </c>
      <c r="L397" s="655">
        <f t="shared" si="42"/>
        <v>443.08831963150993</v>
      </c>
      <c r="M397" s="666">
        <v>60</v>
      </c>
      <c r="N397" s="667">
        <f t="shared" si="43"/>
        <v>265.11451124618674</v>
      </c>
      <c r="O397" s="668">
        <f t="shared" ca="1" si="44"/>
        <v>173</v>
      </c>
      <c r="P397" s="655">
        <f t="shared" ca="1" si="45"/>
        <v>-29957.939770819103</v>
      </c>
      <c r="Q397" s="667">
        <f t="shared" ca="1" si="46"/>
        <v>1</v>
      </c>
      <c r="R397" s="669" t="s">
        <v>631</v>
      </c>
    </row>
    <row r="398" spans="2:18" ht="60" customHeight="1" x14ac:dyDescent="0.25">
      <c r="B398" s="661">
        <v>40113</v>
      </c>
      <c r="C398" s="662" t="s">
        <v>2351</v>
      </c>
      <c r="D398" s="669" t="s">
        <v>629</v>
      </c>
      <c r="E398" s="651" t="s">
        <v>662</v>
      </c>
      <c r="F398" s="663" t="s">
        <v>523</v>
      </c>
      <c r="G398" s="651" t="s">
        <v>28</v>
      </c>
      <c r="H398" s="651" t="s">
        <v>67</v>
      </c>
      <c r="I398" s="651" t="s">
        <v>498</v>
      </c>
      <c r="J398" s="664">
        <v>7990.4585379262644</v>
      </c>
      <c r="K398" s="665">
        <v>35.9</v>
      </c>
      <c r="L398" s="655">
        <f t="shared" si="42"/>
        <v>222.57544673889316</v>
      </c>
      <c r="M398" s="666">
        <v>60</v>
      </c>
      <c r="N398" s="667">
        <f t="shared" si="43"/>
        <v>133.17430896543775</v>
      </c>
      <c r="O398" s="668">
        <f t="shared" ca="1" si="44"/>
        <v>173</v>
      </c>
      <c r="P398" s="655">
        <f t="shared" ca="1" si="45"/>
        <v>-15048.696913094467</v>
      </c>
      <c r="Q398" s="667">
        <f t="shared" ca="1" si="46"/>
        <v>1</v>
      </c>
      <c r="R398" s="669" t="s">
        <v>631</v>
      </c>
    </row>
    <row r="399" spans="2:18" ht="60" customHeight="1" x14ac:dyDescent="0.25">
      <c r="B399" s="661">
        <v>40113</v>
      </c>
      <c r="C399" s="662" t="s">
        <v>2351</v>
      </c>
      <c r="D399" s="669" t="s">
        <v>629</v>
      </c>
      <c r="E399" s="651" t="s">
        <v>663</v>
      </c>
      <c r="F399" s="663" t="s">
        <v>408</v>
      </c>
      <c r="G399" s="651" t="s">
        <v>28</v>
      </c>
      <c r="H399" s="651" t="s">
        <v>67</v>
      </c>
      <c r="I399" s="651" t="s">
        <v>498</v>
      </c>
      <c r="J399" s="664">
        <v>5063.9875004997684</v>
      </c>
      <c r="K399" s="665">
        <v>35.9</v>
      </c>
      <c r="L399" s="655">
        <f t="shared" si="42"/>
        <v>141.0581476462331</v>
      </c>
      <c r="M399" s="666">
        <v>60</v>
      </c>
      <c r="N399" s="667">
        <f t="shared" si="43"/>
        <v>84.399791674996138</v>
      </c>
      <c r="O399" s="668">
        <f t="shared" ca="1" si="44"/>
        <v>173</v>
      </c>
      <c r="P399" s="655">
        <f t="shared" ca="1" si="45"/>
        <v>-9537.176459274564</v>
      </c>
      <c r="Q399" s="667">
        <f t="shared" ca="1" si="46"/>
        <v>1</v>
      </c>
      <c r="R399" s="669" t="s">
        <v>631</v>
      </c>
    </row>
    <row r="400" spans="2:18" ht="60" customHeight="1" x14ac:dyDescent="0.25">
      <c r="B400" s="661">
        <v>40113</v>
      </c>
      <c r="C400" s="662" t="s">
        <v>2351</v>
      </c>
      <c r="D400" s="669" t="s">
        <v>629</v>
      </c>
      <c r="E400" s="651" t="s">
        <v>664</v>
      </c>
      <c r="F400" s="663" t="s">
        <v>408</v>
      </c>
      <c r="G400" s="651" t="s">
        <v>28</v>
      </c>
      <c r="H400" s="651" t="s">
        <v>67</v>
      </c>
      <c r="I400" s="651" t="s">
        <v>498</v>
      </c>
      <c r="J400" s="664">
        <v>5063.9875004997684</v>
      </c>
      <c r="K400" s="665">
        <v>35.9</v>
      </c>
      <c r="L400" s="655">
        <f t="shared" si="42"/>
        <v>141.0581476462331</v>
      </c>
      <c r="M400" s="666">
        <v>60</v>
      </c>
      <c r="N400" s="667">
        <f t="shared" si="43"/>
        <v>84.399791674996138</v>
      </c>
      <c r="O400" s="668">
        <f t="shared" ca="1" si="44"/>
        <v>173</v>
      </c>
      <c r="P400" s="655">
        <f t="shared" ca="1" si="45"/>
        <v>-9537.176459274564</v>
      </c>
      <c r="Q400" s="667">
        <f t="shared" ca="1" si="46"/>
        <v>1</v>
      </c>
      <c r="R400" s="669" t="s">
        <v>631</v>
      </c>
    </row>
    <row r="401" spans="2:18" ht="60" customHeight="1" x14ac:dyDescent="0.25">
      <c r="B401" s="661">
        <v>40113</v>
      </c>
      <c r="C401" s="662" t="s">
        <v>2351</v>
      </c>
      <c r="D401" s="669" t="s">
        <v>629</v>
      </c>
      <c r="E401" s="651" t="s">
        <v>665</v>
      </c>
      <c r="F401" s="663" t="s">
        <v>307</v>
      </c>
      <c r="G401" s="651" t="s">
        <v>28</v>
      </c>
      <c r="H401" s="651" t="s">
        <v>23</v>
      </c>
      <c r="I401" s="651" t="s">
        <v>24</v>
      </c>
      <c r="J401" s="664">
        <v>5761.2031708584318</v>
      </c>
      <c r="K401" s="665">
        <v>35.9</v>
      </c>
      <c r="L401" s="655">
        <f t="shared" si="42"/>
        <v>160.4791969598449</v>
      </c>
      <c r="M401" s="666">
        <v>60</v>
      </c>
      <c r="N401" s="667">
        <f t="shared" si="43"/>
        <v>96.020052847640528</v>
      </c>
      <c r="O401" s="668">
        <f t="shared" ca="1" si="44"/>
        <v>173</v>
      </c>
      <c r="P401" s="655">
        <f t="shared" ca="1" si="45"/>
        <v>-10850.265971783378</v>
      </c>
      <c r="Q401" s="667">
        <f t="shared" ca="1" si="46"/>
        <v>1</v>
      </c>
      <c r="R401" s="669" t="s">
        <v>631</v>
      </c>
    </row>
    <row r="402" spans="2:18" ht="39.950000000000003" customHeight="1" x14ac:dyDescent="0.25">
      <c r="B402" s="661">
        <v>40113</v>
      </c>
      <c r="C402" s="662" t="s">
        <v>2351</v>
      </c>
      <c r="D402" s="669" t="s">
        <v>629</v>
      </c>
      <c r="E402" s="651" t="s">
        <v>666</v>
      </c>
      <c r="F402" s="663" t="s">
        <v>408</v>
      </c>
      <c r="G402" s="651" t="s">
        <v>28</v>
      </c>
      <c r="H402" s="651" t="s">
        <v>23</v>
      </c>
      <c r="I402" s="651" t="s">
        <v>24</v>
      </c>
      <c r="J402" s="664">
        <v>5063.9875004997684</v>
      </c>
      <c r="K402" s="665">
        <v>35.9</v>
      </c>
      <c r="L402" s="655">
        <f t="shared" si="42"/>
        <v>141.0581476462331</v>
      </c>
      <c r="M402" s="666">
        <v>60</v>
      </c>
      <c r="N402" s="667">
        <f t="shared" si="43"/>
        <v>84.399791674996138</v>
      </c>
      <c r="O402" s="668">
        <f t="shared" ca="1" si="44"/>
        <v>173</v>
      </c>
      <c r="P402" s="655">
        <f t="shared" ca="1" si="45"/>
        <v>-9537.176459274564</v>
      </c>
      <c r="Q402" s="667">
        <f t="shared" ca="1" si="46"/>
        <v>1</v>
      </c>
      <c r="R402" s="669" t="s">
        <v>631</v>
      </c>
    </row>
    <row r="403" spans="2:18" ht="50.1" customHeight="1" x14ac:dyDescent="0.25">
      <c r="B403" s="661">
        <v>40113</v>
      </c>
      <c r="C403" s="662" t="s">
        <v>2351</v>
      </c>
      <c r="D403" s="669" t="s">
        <v>629</v>
      </c>
      <c r="E403" s="651" t="s">
        <v>667</v>
      </c>
      <c r="F403" s="663" t="s">
        <v>626</v>
      </c>
      <c r="G403" s="651" t="s">
        <v>28</v>
      </c>
      <c r="H403" s="651" t="s">
        <v>67</v>
      </c>
      <c r="I403" s="651" t="s">
        <v>508</v>
      </c>
      <c r="J403" s="670">
        <v>1170.1079583803903</v>
      </c>
      <c r="K403" s="665">
        <v>35.9</v>
      </c>
      <c r="L403" s="655">
        <f t="shared" si="42"/>
        <v>32.593536445136223</v>
      </c>
      <c r="M403" s="628">
        <v>60</v>
      </c>
      <c r="N403" s="667">
        <f t="shared" si="43"/>
        <v>19.501799306339837</v>
      </c>
      <c r="O403" s="668">
        <f t="shared" ca="1" si="44"/>
        <v>173</v>
      </c>
      <c r="P403" s="655">
        <f t="shared" ca="1" si="45"/>
        <v>-2203.7033216164014</v>
      </c>
      <c r="Q403" s="667">
        <f t="shared" ca="1" si="46"/>
        <v>1</v>
      </c>
      <c r="R403" s="669" t="s">
        <v>397</v>
      </c>
    </row>
    <row r="404" spans="2:18" ht="50.1" customHeight="1" x14ac:dyDescent="0.25">
      <c r="B404" s="661">
        <v>40113</v>
      </c>
      <c r="C404" s="662" t="s">
        <v>2351</v>
      </c>
      <c r="D404" s="669" t="s">
        <v>629</v>
      </c>
      <c r="E404" s="651" t="s">
        <v>668</v>
      </c>
      <c r="F404" s="663" t="s">
        <v>626</v>
      </c>
      <c r="G404" s="651" t="s">
        <v>28</v>
      </c>
      <c r="H404" s="651" t="s">
        <v>67</v>
      </c>
      <c r="I404" s="651" t="s">
        <v>508</v>
      </c>
      <c r="J404" s="670">
        <v>1170.1079583803903</v>
      </c>
      <c r="K404" s="665">
        <v>35.9</v>
      </c>
      <c r="L404" s="655">
        <f t="shared" si="42"/>
        <v>32.593536445136223</v>
      </c>
      <c r="M404" s="628">
        <v>60</v>
      </c>
      <c r="N404" s="667">
        <f t="shared" si="43"/>
        <v>19.501799306339837</v>
      </c>
      <c r="O404" s="668">
        <f t="shared" ca="1" si="44"/>
        <v>173</v>
      </c>
      <c r="P404" s="655">
        <f t="shared" ca="1" si="45"/>
        <v>-2203.7033216164014</v>
      </c>
      <c r="Q404" s="667">
        <f t="shared" ca="1" si="46"/>
        <v>1</v>
      </c>
      <c r="R404" s="669" t="s">
        <v>397</v>
      </c>
    </row>
    <row r="405" spans="2:18" ht="39.950000000000003" customHeight="1" x14ac:dyDescent="0.25">
      <c r="B405" s="661">
        <v>40162</v>
      </c>
      <c r="C405" s="662" t="s">
        <v>2351</v>
      </c>
      <c r="D405" s="669" t="s">
        <v>669</v>
      </c>
      <c r="E405" s="651" t="s">
        <v>672</v>
      </c>
      <c r="F405" s="663" t="s">
        <v>670</v>
      </c>
      <c r="G405" s="651" t="s">
        <v>28</v>
      </c>
      <c r="H405" s="651" t="s">
        <v>488</v>
      </c>
      <c r="I405" s="651" t="s">
        <v>489</v>
      </c>
      <c r="J405" s="664">
        <v>3423.2575533403888</v>
      </c>
      <c r="K405" s="665">
        <v>35.9</v>
      </c>
      <c r="L405" s="655">
        <f t="shared" ref="L405:L436" si="47">+J405/K405</f>
        <v>95.355363602796345</v>
      </c>
      <c r="M405" s="666">
        <v>60</v>
      </c>
      <c r="N405" s="667">
        <f t="shared" ref="N405:N436" si="48">IF(AND(J405&lt;&gt;0,M405&lt;&gt;0),J405/M405,0)</f>
        <v>57.054292555673143</v>
      </c>
      <c r="O405" s="668">
        <f t="shared" ref="O405:O436" ca="1" si="49">IF(B405&lt;&gt;0,(ROUND((NOW()-B405)/30,0)),0)</f>
        <v>171</v>
      </c>
      <c r="P405" s="655">
        <f t="shared" ref="P405:P437" ca="1" si="50">IF(OR(J405=0,M405=0,O405=0),0,J405-(N405*O405))</f>
        <v>-6333.026473679718</v>
      </c>
      <c r="Q405" s="667">
        <f t="shared" ca="1" si="46"/>
        <v>1</v>
      </c>
      <c r="R405" s="669" t="s">
        <v>671</v>
      </c>
    </row>
    <row r="406" spans="2:18" ht="39.950000000000003" customHeight="1" x14ac:dyDescent="0.25">
      <c r="B406" s="661">
        <v>40189</v>
      </c>
      <c r="C406" s="662" t="s">
        <v>2351</v>
      </c>
      <c r="D406" s="669" t="s">
        <v>673</v>
      </c>
      <c r="E406" s="651" t="s">
        <v>674</v>
      </c>
      <c r="F406" s="669" t="s">
        <v>675</v>
      </c>
      <c r="G406" s="651" t="s">
        <v>676</v>
      </c>
      <c r="H406" s="651" t="s">
        <v>23</v>
      </c>
      <c r="I406" s="651" t="s">
        <v>677</v>
      </c>
      <c r="J406" s="674">
        <v>39930.559999999998</v>
      </c>
      <c r="K406" s="665">
        <v>36.18</v>
      </c>
      <c r="L406" s="655">
        <f t="shared" si="47"/>
        <v>1103.6639027086787</v>
      </c>
      <c r="M406" s="666">
        <v>60</v>
      </c>
      <c r="N406" s="667">
        <f t="shared" si="48"/>
        <v>665.5093333333333</v>
      </c>
      <c r="O406" s="668">
        <f t="shared" ca="1" si="49"/>
        <v>170</v>
      </c>
      <c r="P406" s="655">
        <f t="shared" ca="1" si="50"/>
        <v>-73206.026666666658</v>
      </c>
      <c r="Q406" s="667">
        <f t="shared" ca="1" si="46"/>
        <v>1</v>
      </c>
      <c r="R406" s="669" t="s">
        <v>678</v>
      </c>
    </row>
    <row r="407" spans="2:18" ht="47.1" customHeight="1" x14ac:dyDescent="0.25">
      <c r="B407" s="661">
        <v>40240</v>
      </c>
      <c r="C407" s="662" t="s">
        <v>2351</v>
      </c>
      <c r="D407" s="669" t="s">
        <v>679</v>
      </c>
      <c r="E407" s="651" t="s">
        <v>680</v>
      </c>
      <c r="F407" s="663" t="s">
        <v>681</v>
      </c>
      <c r="G407" s="651" t="s">
        <v>28</v>
      </c>
      <c r="H407" s="651" t="s">
        <v>303</v>
      </c>
      <c r="I407" s="651" t="s">
        <v>4408</v>
      </c>
      <c r="J407" s="664">
        <v>63672.49</v>
      </c>
      <c r="K407" s="665">
        <v>36.380000000000003</v>
      </c>
      <c r="L407" s="655">
        <f t="shared" si="47"/>
        <v>1750.205882352941</v>
      </c>
      <c r="M407" s="666">
        <v>60</v>
      </c>
      <c r="N407" s="667">
        <f t="shared" si="48"/>
        <v>1061.2081666666666</v>
      </c>
      <c r="O407" s="668">
        <f t="shared" ca="1" si="49"/>
        <v>169</v>
      </c>
      <c r="P407" s="655">
        <f t="shared" ca="1" si="50"/>
        <v>-115671.69016666667</v>
      </c>
      <c r="Q407" s="667">
        <f t="shared" ca="1" si="46"/>
        <v>1</v>
      </c>
      <c r="R407" s="669" t="s">
        <v>682</v>
      </c>
    </row>
    <row r="408" spans="2:18" ht="39.950000000000003" customHeight="1" x14ac:dyDescent="0.25">
      <c r="B408" s="661">
        <v>40240</v>
      </c>
      <c r="C408" s="662" t="s">
        <v>2351</v>
      </c>
      <c r="D408" s="669" t="s">
        <v>679</v>
      </c>
      <c r="E408" s="651" t="s">
        <v>683</v>
      </c>
      <c r="F408" s="663" t="s">
        <v>681</v>
      </c>
      <c r="G408" s="651" t="s">
        <v>28</v>
      </c>
      <c r="H408" s="651" t="s">
        <v>303</v>
      </c>
      <c r="I408" s="651" t="s">
        <v>4408</v>
      </c>
      <c r="J408" s="664">
        <v>63672.49</v>
      </c>
      <c r="K408" s="665">
        <v>36.380000000000003</v>
      </c>
      <c r="L408" s="655">
        <f t="shared" si="47"/>
        <v>1750.205882352941</v>
      </c>
      <c r="M408" s="666">
        <v>60</v>
      </c>
      <c r="N408" s="667">
        <f t="shared" si="48"/>
        <v>1061.2081666666666</v>
      </c>
      <c r="O408" s="668">
        <f t="shared" ca="1" si="49"/>
        <v>169</v>
      </c>
      <c r="P408" s="655">
        <f t="shared" ca="1" si="50"/>
        <v>-115671.69016666667</v>
      </c>
      <c r="Q408" s="667">
        <f t="shared" ca="1" si="46"/>
        <v>1</v>
      </c>
      <c r="R408" s="669" t="s">
        <v>682</v>
      </c>
    </row>
    <row r="409" spans="2:18" ht="39.950000000000003" customHeight="1" x14ac:dyDescent="0.25">
      <c r="B409" s="661">
        <v>40263</v>
      </c>
      <c r="C409" s="662" t="s">
        <v>2351</v>
      </c>
      <c r="D409" s="669" t="s">
        <v>684</v>
      </c>
      <c r="E409" s="651" t="s">
        <v>685</v>
      </c>
      <c r="F409" s="663" t="s">
        <v>686</v>
      </c>
      <c r="G409" s="651" t="s">
        <v>28</v>
      </c>
      <c r="H409" s="651" t="s">
        <v>23</v>
      </c>
      <c r="I409" s="651" t="s">
        <v>194</v>
      </c>
      <c r="J409" s="664">
        <v>4700</v>
      </c>
      <c r="K409" s="665">
        <v>36.479999999999997</v>
      </c>
      <c r="L409" s="655">
        <f t="shared" si="47"/>
        <v>128.83771929824562</v>
      </c>
      <c r="M409" s="666">
        <v>60</v>
      </c>
      <c r="N409" s="667">
        <f t="shared" si="48"/>
        <v>78.333333333333329</v>
      </c>
      <c r="O409" s="668">
        <f t="shared" ca="1" si="49"/>
        <v>168</v>
      </c>
      <c r="P409" s="655">
        <f t="shared" ca="1" si="50"/>
        <v>-8460</v>
      </c>
      <c r="Q409" s="667">
        <f t="shared" ca="1" si="46"/>
        <v>1</v>
      </c>
      <c r="R409" s="669" t="s">
        <v>687</v>
      </c>
    </row>
    <row r="410" spans="2:18" ht="46.5" customHeight="1" x14ac:dyDescent="0.25">
      <c r="B410" s="661">
        <v>40263</v>
      </c>
      <c r="C410" s="662" t="s">
        <v>2351</v>
      </c>
      <c r="D410" s="669" t="s">
        <v>684</v>
      </c>
      <c r="E410" s="651" t="s">
        <v>688</v>
      </c>
      <c r="F410" s="663" t="s">
        <v>689</v>
      </c>
      <c r="G410" s="651" t="s">
        <v>690</v>
      </c>
      <c r="H410" s="651" t="s">
        <v>23</v>
      </c>
      <c r="I410" s="651" t="s">
        <v>194</v>
      </c>
      <c r="J410" s="664">
        <v>30958</v>
      </c>
      <c r="K410" s="665">
        <v>36.479999999999997</v>
      </c>
      <c r="L410" s="655">
        <f t="shared" si="47"/>
        <v>848.62938596491233</v>
      </c>
      <c r="M410" s="666">
        <v>60</v>
      </c>
      <c r="N410" s="667">
        <f t="shared" si="48"/>
        <v>515.9666666666667</v>
      </c>
      <c r="O410" s="668">
        <f t="shared" ca="1" si="49"/>
        <v>168</v>
      </c>
      <c r="P410" s="655">
        <f t="shared" ca="1" si="50"/>
        <v>-55724.400000000009</v>
      </c>
      <c r="Q410" s="667">
        <f t="shared" ca="1" si="46"/>
        <v>1</v>
      </c>
      <c r="R410" s="669" t="s">
        <v>687</v>
      </c>
    </row>
    <row r="411" spans="2:18" ht="57" customHeight="1" x14ac:dyDescent="0.25">
      <c r="B411" s="661">
        <v>40331</v>
      </c>
      <c r="C411" s="662" t="s">
        <v>2351</v>
      </c>
      <c r="D411" s="669" t="s">
        <v>691</v>
      </c>
      <c r="E411" s="651" t="s">
        <v>692</v>
      </c>
      <c r="F411" s="669" t="s">
        <v>693</v>
      </c>
      <c r="G411" s="675" t="s">
        <v>694</v>
      </c>
      <c r="H411" s="651" t="s">
        <v>695</v>
      </c>
      <c r="I411" s="651" t="s">
        <v>19</v>
      </c>
      <c r="J411" s="674">
        <v>99240.62</v>
      </c>
      <c r="K411" s="674">
        <v>36.708199999999998</v>
      </c>
      <c r="L411" s="655">
        <f t="shared" si="47"/>
        <v>2703.5000354144304</v>
      </c>
      <c r="M411" s="666">
        <v>60</v>
      </c>
      <c r="N411" s="667">
        <f t="shared" si="48"/>
        <v>1654.0103333333332</v>
      </c>
      <c r="O411" s="668">
        <f t="shared" ca="1" si="49"/>
        <v>166</v>
      </c>
      <c r="P411" s="655">
        <f t="shared" ca="1" si="50"/>
        <v>-175325.0953333333</v>
      </c>
      <c r="Q411" s="667">
        <f t="shared" ca="1" si="46"/>
        <v>1</v>
      </c>
      <c r="R411" s="669" t="s">
        <v>696</v>
      </c>
    </row>
    <row r="412" spans="2:18" ht="39.950000000000003" customHeight="1" x14ac:dyDescent="0.25">
      <c r="B412" s="661">
        <v>40346</v>
      </c>
      <c r="C412" s="662" t="s">
        <v>2351</v>
      </c>
      <c r="D412" s="669" t="s">
        <v>697</v>
      </c>
      <c r="E412" s="651" t="s">
        <v>698</v>
      </c>
      <c r="F412" s="669" t="s">
        <v>699</v>
      </c>
      <c r="G412" s="651" t="s">
        <v>28</v>
      </c>
      <c r="H412" s="651" t="s">
        <v>21</v>
      </c>
      <c r="I412" s="651" t="s">
        <v>19</v>
      </c>
      <c r="J412" s="674">
        <v>7584</v>
      </c>
      <c r="K412" s="674">
        <v>36.72</v>
      </c>
      <c r="L412" s="655">
        <f t="shared" si="47"/>
        <v>206.53594771241831</v>
      </c>
      <c r="M412" s="666">
        <v>60</v>
      </c>
      <c r="N412" s="667">
        <f t="shared" si="48"/>
        <v>126.4</v>
      </c>
      <c r="O412" s="668">
        <f t="shared" ca="1" si="49"/>
        <v>165</v>
      </c>
      <c r="P412" s="655">
        <f t="shared" ca="1" si="50"/>
        <v>-13272</v>
      </c>
      <c r="Q412" s="667">
        <f t="shared" ca="1" si="46"/>
        <v>1</v>
      </c>
      <c r="R412" s="669" t="s">
        <v>700</v>
      </c>
    </row>
    <row r="413" spans="2:18" ht="39.950000000000003" customHeight="1" x14ac:dyDescent="0.25">
      <c r="B413" s="661">
        <v>40346</v>
      </c>
      <c r="C413" s="662" t="s">
        <v>2351</v>
      </c>
      <c r="D413" s="669" t="s">
        <v>697</v>
      </c>
      <c r="E413" s="651" t="s">
        <v>701</v>
      </c>
      <c r="F413" s="669" t="s">
        <v>699</v>
      </c>
      <c r="G413" s="651" t="s">
        <v>28</v>
      </c>
      <c r="H413" s="651" t="s">
        <v>21</v>
      </c>
      <c r="I413" s="651" t="s">
        <v>19</v>
      </c>
      <c r="J413" s="674">
        <v>7584</v>
      </c>
      <c r="K413" s="674">
        <v>36.72</v>
      </c>
      <c r="L413" s="655">
        <f t="shared" si="47"/>
        <v>206.53594771241831</v>
      </c>
      <c r="M413" s="666">
        <v>60</v>
      </c>
      <c r="N413" s="667">
        <f t="shared" si="48"/>
        <v>126.4</v>
      </c>
      <c r="O413" s="668">
        <f t="shared" ca="1" si="49"/>
        <v>165</v>
      </c>
      <c r="P413" s="655">
        <f t="shared" ca="1" si="50"/>
        <v>-13272</v>
      </c>
      <c r="Q413" s="667">
        <f t="shared" ca="1" si="46"/>
        <v>1</v>
      </c>
      <c r="R413" s="669" t="s">
        <v>700</v>
      </c>
    </row>
    <row r="414" spans="2:18" ht="39.950000000000003" customHeight="1" x14ac:dyDescent="0.25">
      <c r="B414" s="661">
        <v>40350</v>
      </c>
      <c r="C414" s="662" t="s">
        <v>2351</v>
      </c>
      <c r="D414" s="669" t="s">
        <v>702</v>
      </c>
      <c r="E414" s="651" t="s">
        <v>703</v>
      </c>
      <c r="F414" s="669" t="s">
        <v>704</v>
      </c>
      <c r="G414" s="651" t="s">
        <v>705</v>
      </c>
      <c r="H414" s="651" t="s">
        <v>23</v>
      </c>
      <c r="I414" s="651" t="s">
        <v>706</v>
      </c>
      <c r="J414" s="674">
        <v>10344.82</v>
      </c>
      <c r="K414" s="674">
        <v>36.9</v>
      </c>
      <c r="L414" s="655">
        <f t="shared" si="47"/>
        <v>280.34742547425475</v>
      </c>
      <c r="M414" s="666">
        <v>60</v>
      </c>
      <c r="N414" s="667">
        <f t="shared" si="48"/>
        <v>172.41366666666667</v>
      </c>
      <c r="O414" s="668">
        <f t="shared" ca="1" si="49"/>
        <v>165</v>
      </c>
      <c r="P414" s="655">
        <f t="shared" ca="1" si="50"/>
        <v>-18103.435000000001</v>
      </c>
      <c r="Q414" s="667">
        <f t="shared" ca="1" si="46"/>
        <v>1</v>
      </c>
      <c r="R414" s="669" t="s">
        <v>707</v>
      </c>
    </row>
    <row r="415" spans="2:18" ht="39.950000000000003" customHeight="1" x14ac:dyDescent="0.25">
      <c r="B415" s="661">
        <v>40350</v>
      </c>
      <c r="C415" s="662" t="s">
        <v>2351</v>
      </c>
      <c r="D415" s="669" t="s">
        <v>702</v>
      </c>
      <c r="E415" s="651" t="s">
        <v>708</v>
      </c>
      <c r="F415" s="669" t="s">
        <v>704</v>
      </c>
      <c r="G415" s="651" t="s">
        <v>705</v>
      </c>
      <c r="H415" s="651" t="s">
        <v>23</v>
      </c>
      <c r="I415" s="651" t="s">
        <v>706</v>
      </c>
      <c r="J415" s="674">
        <v>10344.82</v>
      </c>
      <c r="K415" s="674">
        <v>36.9</v>
      </c>
      <c r="L415" s="655">
        <f t="shared" si="47"/>
        <v>280.34742547425475</v>
      </c>
      <c r="M415" s="666">
        <v>60</v>
      </c>
      <c r="N415" s="667">
        <f t="shared" si="48"/>
        <v>172.41366666666667</v>
      </c>
      <c r="O415" s="668">
        <f t="shared" ca="1" si="49"/>
        <v>165</v>
      </c>
      <c r="P415" s="655">
        <f t="shared" ca="1" si="50"/>
        <v>-18103.435000000001</v>
      </c>
      <c r="Q415" s="667">
        <f t="shared" ca="1" si="46"/>
        <v>1</v>
      </c>
      <c r="R415" s="669" t="s">
        <v>707</v>
      </c>
    </row>
    <row r="416" spans="2:18" ht="39.950000000000003" customHeight="1" x14ac:dyDescent="0.25">
      <c r="B416" s="661">
        <v>40350</v>
      </c>
      <c r="C416" s="662" t="s">
        <v>2351</v>
      </c>
      <c r="D416" s="669" t="s">
        <v>702</v>
      </c>
      <c r="E416" s="651" t="s">
        <v>709</v>
      </c>
      <c r="F416" s="669" t="s">
        <v>710</v>
      </c>
      <c r="G416" s="651" t="s">
        <v>711</v>
      </c>
      <c r="H416" s="651" t="s">
        <v>23</v>
      </c>
      <c r="I416" s="651" t="s">
        <v>706</v>
      </c>
      <c r="J416" s="674">
        <v>862.06</v>
      </c>
      <c r="K416" s="674">
        <v>36.9</v>
      </c>
      <c r="L416" s="655">
        <f t="shared" si="47"/>
        <v>23.362059620596206</v>
      </c>
      <c r="M416" s="666">
        <v>60</v>
      </c>
      <c r="N416" s="667">
        <f t="shared" si="48"/>
        <v>14.367666666666667</v>
      </c>
      <c r="O416" s="668">
        <f t="shared" ca="1" si="49"/>
        <v>165</v>
      </c>
      <c r="P416" s="655">
        <f t="shared" ca="1" si="50"/>
        <v>-1508.605</v>
      </c>
      <c r="Q416" s="667">
        <f t="shared" ca="1" si="46"/>
        <v>1</v>
      </c>
      <c r="R416" s="669" t="s">
        <v>707</v>
      </c>
    </row>
    <row r="417" spans="2:18" ht="39.950000000000003" customHeight="1" x14ac:dyDescent="0.25">
      <c r="B417" s="661">
        <v>40350</v>
      </c>
      <c r="C417" s="662" t="s">
        <v>2351</v>
      </c>
      <c r="D417" s="669" t="s">
        <v>702</v>
      </c>
      <c r="E417" s="651" t="s">
        <v>712</v>
      </c>
      <c r="F417" s="669" t="s">
        <v>710</v>
      </c>
      <c r="G417" s="651" t="s">
        <v>711</v>
      </c>
      <c r="H417" s="651" t="s">
        <v>23</v>
      </c>
      <c r="I417" s="651" t="s">
        <v>706</v>
      </c>
      <c r="J417" s="674">
        <v>862.06</v>
      </c>
      <c r="K417" s="674">
        <v>36.9</v>
      </c>
      <c r="L417" s="655">
        <f t="shared" si="47"/>
        <v>23.362059620596206</v>
      </c>
      <c r="M417" s="666">
        <v>60</v>
      </c>
      <c r="N417" s="667">
        <f t="shared" si="48"/>
        <v>14.367666666666667</v>
      </c>
      <c r="O417" s="668">
        <f t="shared" ca="1" si="49"/>
        <v>165</v>
      </c>
      <c r="P417" s="655">
        <f t="shared" ca="1" si="50"/>
        <v>-1508.605</v>
      </c>
      <c r="Q417" s="667">
        <f t="shared" ca="1" si="46"/>
        <v>1</v>
      </c>
      <c r="R417" s="669" t="s">
        <v>707</v>
      </c>
    </row>
    <row r="418" spans="2:18" ht="39.950000000000003" customHeight="1" x14ac:dyDescent="0.25">
      <c r="B418" s="661">
        <v>40352</v>
      </c>
      <c r="C418" s="662" t="s">
        <v>2351</v>
      </c>
      <c r="D418" s="669" t="s">
        <v>713</v>
      </c>
      <c r="E418" s="651" t="s">
        <v>714</v>
      </c>
      <c r="F418" s="669" t="s">
        <v>715</v>
      </c>
      <c r="G418" s="651" t="s">
        <v>716</v>
      </c>
      <c r="H418" s="651" t="s">
        <v>23</v>
      </c>
      <c r="I418" s="651" t="s">
        <v>706</v>
      </c>
      <c r="J418" s="674">
        <v>3775.66</v>
      </c>
      <c r="K418" s="674">
        <v>36.9</v>
      </c>
      <c r="L418" s="655">
        <f t="shared" si="47"/>
        <v>102.32140921409214</v>
      </c>
      <c r="M418" s="666">
        <v>60</v>
      </c>
      <c r="N418" s="667">
        <f t="shared" si="48"/>
        <v>62.927666666666667</v>
      </c>
      <c r="O418" s="668">
        <f t="shared" ca="1" si="49"/>
        <v>165</v>
      </c>
      <c r="P418" s="655">
        <f t="shared" ca="1" si="50"/>
        <v>-6607.4050000000007</v>
      </c>
      <c r="Q418" s="667">
        <f t="shared" ca="1" si="46"/>
        <v>1</v>
      </c>
      <c r="R418" s="669" t="s">
        <v>717</v>
      </c>
    </row>
    <row r="419" spans="2:18" ht="39.950000000000003" customHeight="1" x14ac:dyDescent="0.25">
      <c r="B419" s="661">
        <v>40352</v>
      </c>
      <c r="C419" s="662" t="s">
        <v>2351</v>
      </c>
      <c r="D419" s="669" t="s">
        <v>713</v>
      </c>
      <c r="E419" s="651" t="s">
        <v>718</v>
      </c>
      <c r="F419" s="669" t="s">
        <v>719</v>
      </c>
      <c r="G419" s="651" t="s">
        <v>720</v>
      </c>
      <c r="H419" s="651" t="s">
        <v>23</v>
      </c>
      <c r="I419" s="651" t="s">
        <v>706</v>
      </c>
      <c r="J419" s="674">
        <v>25775.86</v>
      </c>
      <c r="K419" s="674">
        <v>36.9</v>
      </c>
      <c r="L419" s="655">
        <f t="shared" si="47"/>
        <v>698.53279132791329</v>
      </c>
      <c r="M419" s="666">
        <v>60</v>
      </c>
      <c r="N419" s="667">
        <f t="shared" si="48"/>
        <v>429.59766666666667</v>
      </c>
      <c r="O419" s="668">
        <f t="shared" ca="1" si="49"/>
        <v>165</v>
      </c>
      <c r="P419" s="655">
        <f t="shared" ca="1" si="50"/>
        <v>-45107.755000000005</v>
      </c>
      <c r="Q419" s="667">
        <f t="shared" ca="1" si="46"/>
        <v>1</v>
      </c>
      <c r="R419" s="669" t="s">
        <v>717</v>
      </c>
    </row>
    <row r="420" spans="2:18" ht="39.950000000000003" customHeight="1" x14ac:dyDescent="0.25">
      <c r="B420" s="661">
        <v>40364</v>
      </c>
      <c r="C420" s="662" t="s">
        <v>2351</v>
      </c>
      <c r="D420" s="669" t="s">
        <v>721</v>
      </c>
      <c r="E420" s="651" t="s">
        <v>722</v>
      </c>
      <c r="F420" s="669" t="s">
        <v>723</v>
      </c>
      <c r="G420" s="651" t="s">
        <v>28</v>
      </c>
      <c r="H420" s="651" t="s">
        <v>724</v>
      </c>
      <c r="I420" s="651" t="s">
        <v>19</v>
      </c>
      <c r="J420" s="674">
        <v>14160</v>
      </c>
      <c r="K420" s="676">
        <v>36.76</v>
      </c>
      <c r="L420" s="655">
        <f t="shared" si="47"/>
        <v>385.20130576713819</v>
      </c>
      <c r="M420" s="666">
        <v>60</v>
      </c>
      <c r="N420" s="667">
        <f t="shared" si="48"/>
        <v>236</v>
      </c>
      <c r="O420" s="668">
        <f t="shared" ca="1" si="49"/>
        <v>165</v>
      </c>
      <c r="P420" s="655">
        <f t="shared" ca="1" si="50"/>
        <v>-24780</v>
      </c>
      <c r="Q420" s="667">
        <f t="shared" ca="1" si="46"/>
        <v>1</v>
      </c>
      <c r="R420" s="677" t="s">
        <v>61</v>
      </c>
    </row>
    <row r="421" spans="2:18" ht="71.25" customHeight="1" x14ac:dyDescent="0.25">
      <c r="B421" s="661">
        <v>40379</v>
      </c>
      <c r="C421" s="662" t="s">
        <v>2351</v>
      </c>
      <c r="D421" s="669" t="s">
        <v>725</v>
      </c>
      <c r="E421" s="651" t="s">
        <v>726</v>
      </c>
      <c r="F421" s="669" t="s">
        <v>727</v>
      </c>
      <c r="G421" s="651" t="s">
        <v>728</v>
      </c>
      <c r="H421" s="651" t="s">
        <v>60</v>
      </c>
      <c r="I421" s="651" t="s">
        <v>19</v>
      </c>
      <c r="J421" s="674">
        <v>50740.94</v>
      </c>
      <c r="K421" s="674">
        <v>36.799999999999997</v>
      </c>
      <c r="L421" s="655">
        <f t="shared" si="47"/>
        <v>1378.8298913043479</v>
      </c>
      <c r="M421" s="666">
        <v>60</v>
      </c>
      <c r="N421" s="667">
        <f t="shared" si="48"/>
        <v>845.68233333333342</v>
      </c>
      <c r="O421" s="668">
        <f t="shared" ca="1" si="49"/>
        <v>164</v>
      </c>
      <c r="P421" s="655">
        <f t="shared" ca="1" si="50"/>
        <v>-87950.962666666688</v>
      </c>
      <c r="Q421" s="667">
        <f t="shared" ca="1" si="46"/>
        <v>1</v>
      </c>
      <c r="R421" s="669" t="s">
        <v>729</v>
      </c>
    </row>
    <row r="422" spans="2:18" ht="73.5" customHeight="1" x14ac:dyDescent="0.25">
      <c r="B422" s="661">
        <v>40380</v>
      </c>
      <c r="C422" s="662" t="s">
        <v>2351</v>
      </c>
      <c r="D422" s="669" t="s">
        <v>730</v>
      </c>
      <c r="E422" s="651" t="s">
        <v>731</v>
      </c>
      <c r="F422" s="669" t="s">
        <v>732</v>
      </c>
      <c r="G422" s="651" t="s">
        <v>733</v>
      </c>
      <c r="H422" s="651" t="s">
        <v>40</v>
      </c>
      <c r="I422" s="651" t="s">
        <v>19</v>
      </c>
      <c r="J422" s="674">
        <v>801208.86</v>
      </c>
      <c r="K422" s="674">
        <v>36.752699999999997</v>
      </c>
      <c r="L422" s="655">
        <f t="shared" si="47"/>
        <v>21800</v>
      </c>
      <c r="M422" s="666">
        <v>60</v>
      </c>
      <c r="N422" s="667">
        <f t="shared" si="48"/>
        <v>13353.481</v>
      </c>
      <c r="O422" s="668">
        <f t="shared" ca="1" si="49"/>
        <v>164</v>
      </c>
      <c r="P422" s="655">
        <f t="shared" ca="1" si="50"/>
        <v>-1388762.0240000002</v>
      </c>
      <c r="Q422" s="667">
        <f t="shared" ca="1" si="46"/>
        <v>1</v>
      </c>
      <c r="R422" s="669" t="s">
        <v>734</v>
      </c>
    </row>
    <row r="423" spans="2:18" ht="39.950000000000003" customHeight="1" x14ac:dyDescent="0.25">
      <c r="B423" s="661">
        <v>40421</v>
      </c>
      <c r="C423" s="662" t="s">
        <v>2351</v>
      </c>
      <c r="D423" s="669" t="s">
        <v>735</v>
      </c>
      <c r="E423" s="651" t="s">
        <v>736</v>
      </c>
      <c r="F423" s="669" t="s">
        <v>737</v>
      </c>
      <c r="G423" s="651">
        <v>41089908</v>
      </c>
      <c r="H423" s="651" t="s">
        <v>23</v>
      </c>
      <c r="I423" s="651" t="s">
        <v>738</v>
      </c>
      <c r="J423" s="674">
        <v>561080.64</v>
      </c>
      <c r="K423" s="676">
        <v>36.909999999999997</v>
      </c>
      <c r="L423" s="655">
        <f t="shared" si="47"/>
        <v>15201.317800054188</v>
      </c>
      <c r="M423" s="666">
        <v>60</v>
      </c>
      <c r="N423" s="667">
        <f t="shared" si="48"/>
        <v>9351.344000000001</v>
      </c>
      <c r="O423" s="668">
        <f t="shared" ca="1" si="49"/>
        <v>163</v>
      </c>
      <c r="P423" s="655">
        <f t="shared" ca="1" si="50"/>
        <v>-963188.43200000015</v>
      </c>
      <c r="Q423" s="667">
        <f t="shared" ca="1" si="46"/>
        <v>1</v>
      </c>
      <c r="R423" s="669" t="s">
        <v>739</v>
      </c>
    </row>
    <row r="424" spans="2:18" ht="50.25" customHeight="1" x14ac:dyDescent="0.25">
      <c r="B424" s="661">
        <v>40441</v>
      </c>
      <c r="C424" s="662" t="s">
        <v>2351</v>
      </c>
      <c r="D424" s="669" t="s">
        <v>740</v>
      </c>
      <c r="E424" s="651" t="s">
        <v>741</v>
      </c>
      <c r="F424" s="669" t="s">
        <v>742</v>
      </c>
      <c r="G424" s="651" t="s">
        <v>28</v>
      </c>
      <c r="H424" s="651" t="s">
        <v>743</v>
      </c>
      <c r="I424" s="651" t="s">
        <v>19</v>
      </c>
      <c r="J424" s="674">
        <v>7584.05</v>
      </c>
      <c r="K424" s="674">
        <v>36.97</v>
      </c>
      <c r="L424" s="655">
        <f t="shared" si="47"/>
        <v>205.14065458479848</v>
      </c>
      <c r="M424" s="666">
        <v>60</v>
      </c>
      <c r="N424" s="667">
        <f t="shared" si="48"/>
        <v>126.40083333333334</v>
      </c>
      <c r="O424" s="668">
        <f t="shared" ca="1" si="49"/>
        <v>162</v>
      </c>
      <c r="P424" s="655">
        <f t="shared" ca="1" si="50"/>
        <v>-12892.885000000002</v>
      </c>
      <c r="Q424" s="667">
        <f t="shared" ca="1" si="46"/>
        <v>1</v>
      </c>
      <c r="R424" s="669" t="s">
        <v>700</v>
      </c>
    </row>
    <row r="425" spans="2:18" ht="39.950000000000003" customHeight="1" x14ac:dyDescent="0.25">
      <c r="B425" s="661">
        <v>40441</v>
      </c>
      <c r="C425" s="662" t="s">
        <v>2351</v>
      </c>
      <c r="D425" s="669" t="s">
        <v>740</v>
      </c>
      <c r="E425" s="651" t="s">
        <v>744</v>
      </c>
      <c r="F425" s="669" t="s">
        <v>742</v>
      </c>
      <c r="G425" s="651" t="s">
        <v>28</v>
      </c>
      <c r="H425" s="651" t="s">
        <v>743</v>
      </c>
      <c r="I425" s="651" t="s">
        <v>19</v>
      </c>
      <c r="J425" s="674">
        <v>7584.05</v>
      </c>
      <c r="K425" s="674">
        <v>36.97</v>
      </c>
      <c r="L425" s="655">
        <f t="shared" si="47"/>
        <v>205.14065458479848</v>
      </c>
      <c r="M425" s="666">
        <v>60</v>
      </c>
      <c r="N425" s="667">
        <f t="shared" si="48"/>
        <v>126.40083333333334</v>
      </c>
      <c r="O425" s="668">
        <f t="shared" ca="1" si="49"/>
        <v>162</v>
      </c>
      <c r="P425" s="655">
        <f t="shared" ca="1" si="50"/>
        <v>-12892.885000000002</v>
      </c>
      <c r="Q425" s="667">
        <f t="shared" ca="1" si="46"/>
        <v>1</v>
      </c>
      <c r="R425" s="669" t="s">
        <v>700</v>
      </c>
    </row>
    <row r="426" spans="2:18" ht="39.950000000000003" customHeight="1" x14ac:dyDescent="0.25">
      <c r="B426" s="661">
        <v>40450</v>
      </c>
      <c r="C426" s="662" t="s">
        <v>2351</v>
      </c>
      <c r="D426" s="669" t="s">
        <v>745</v>
      </c>
      <c r="E426" s="651" t="s">
        <v>746</v>
      </c>
      <c r="F426" s="669" t="s">
        <v>747</v>
      </c>
      <c r="G426" s="651" t="s">
        <v>748</v>
      </c>
      <c r="H426" s="651" t="s">
        <v>23</v>
      </c>
      <c r="I426" s="651" t="s">
        <v>738</v>
      </c>
      <c r="J426" s="674">
        <v>48000</v>
      </c>
      <c r="K426" s="674">
        <v>36.950000000000003</v>
      </c>
      <c r="L426" s="655">
        <f t="shared" si="47"/>
        <v>1299.0527740189443</v>
      </c>
      <c r="M426" s="666">
        <v>60</v>
      </c>
      <c r="N426" s="667">
        <f t="shared" si="48"/>
        <v>800</v>
      </c>
      <c r="O426" s="668">
        <f t="shared" ca="1" si="49"/>
        <v>162</v>
      </c>
      <c r="P426" s="655">
        <f t="shared" ca="1" si="50"/>
        <v>-81600</v>
      </c>
      <c r="Q426" s="667">
        <f t="shared" ca="1" si="46"/>
        <v>1</v>
      </c>
      <c r="R426" s="669" t="s">
        <v>749</v>
      </c>
    </row>
    <row r="427" spans="2:18" ht="39.950000000000003" customHeight="1" x14ac:dyDescent="0.25">
      <c r="B427" s="661">
        <v>40450</v>
      </c>
      <c r="C427" s="662" t="s">
        <v>2351</v>
      </c>
      <c r="D427" s="669" t="s">
        <v>745</v>
      </c>
      <c r="E427" s="651" t="s">
        <v>750</v>
      </c>
      <c r="F427" s="669" t="s">
        <v>699</v>
      </c>
      <c r="G427" s="651" t="s">
        <v>28</v>
      </c>
      <c r="H427" s="651" t="s">
        <v>23</v>
      </c>
      <c r="I427" s="651" t="s">
        <v>738</v>
      </c>
      <c r="J427" s="674">
        <v>22500</v>
      </c>
      <c r="K427" s="674">
        <v>36.950000000000003</v>
      </c>
      <c r="L427" s="655">
        <f t="shared" si="47"/>
        <v>608.9309878213802</v>
      </c>
      <c r="M427" s="666">
        <v>60</v>
      </c>
      <c r="N427" s="667">
        <f t="shared" si="48"/>
        <v>375</v>
      </c>
      <c r="O427" s="668">
        <f t="shared" ca="1" si="49"/>
        <v>162</v>
      </c>
      <c r="P427" s="655">
        <f t="shared" ca="1" si="50"/>
        <v>-38250</v>
      </c>
      <c r="Q427" s="667">
        <f t="shared" ca="1" si="46"/>
        <v>1</v>
      </c>
      <c r="R427" s="669" t="s">
        <v>749</v>
      </c>
    </row>
    <row r="428" spans="2:18" ht="39.950000000000003" customHeight="1" x14ac:dyDescent="0.25">
      <c r="B428" s="661">
        <v>40450</v>
      </c>
      <c r="C428" s="662" t="s">
        <v>2351</v>
      </c>
      <c r="D428" s="669" t="s">
        <v>745</v>
      </c>
      <c r="E428" s="651" t="s">
        <v>751</v>
      </c>
      <c r="F428" s="669" t="s">
        <v>699</v>
      </c>
      <c r="G428" s="651" t="s">
        <v>28</v>
      </c>
      <c r="H428" s="651" t="s">
        <v>23</v>
      </c>
      <c r="I428" s="651" t="s">
        <v>738</v>
      </c>
      <c r="J428" s="674">
        <v>22500</v>
      </c>
      <c r="K428" s="674">
        <v>36.950000000000003</v>
      </c>
      <c r="L428" s="655">
        <f t="shared" si="47"/>
        <v>608.9309878213802</v>
      </c>
      <c r="M428" s="666">
        <v>60</v>
      </c>
      <c r="N428" s="667">
        <f t="shared" si="48"/>
        <v>375</v>
      </c>
      <c r="O428" s="668">
        <f t="shared" ca="1" si="49"/>
        <v>162</v>
      </c>
      <c r="P428" s="655">
        <f t="shared" ca="1" si="50"/>
        <v>-38250</v>
      </c>
      <c r="Q428" s="667">
        <f t="shared" ca="1" si="46"/>
        <v>1</v>
      </c>
      <c r="R428" s="669" t="s">
        <v>749</v>
      </c>
    </row>
    <row r="429" spans="2:18" ht="39.950000000000003" customHeight="1" x14ac:dyDescent="0.25">
      <c r="B429" s="661">
        <v>40450</v>
      </c>
      <c r="C429" s="662" t="s">
        <v>2351</v>
      </c>
      <c r="D429" s="669" t="s">
        <v>745</v>
      </c>
      <c r="E429" s="651" t="s">
        <v>752</v>
      </c>
      <c r="F429" s="669" t="s">
        <v>699</v>
      </c>
      <c r="G429" s="651" t="s">
        <v>28</v>
      </c>
      <c r="H429" s="651" t="s">
        <v>23</v>
      </c>
      <c r="I429" s="651" t="s">
        <v>738</v>
      </c>
      <c r="J429" s="674">
        <v>22500</v>
      </c>
      <c r="K429" s="674">
        <v>36.950000000000003</v>
      </c>
      <c r="L429" s="655">
        <f t="shared" si="47"/>
        <v>608.9309878213802</v>
      </c>
      <c r="M429" s="666">
        <v>60</v>
      </c>
      <c r="N429" s="667">
        <f t="shared" si="48"/>
        <v>375</v>
      </c>
      <c r="O429" s="668">
        <f t="shared" ca="1" si="49"/>
        <v>162</v>
      </c>
      <c r="P429" s="655">
        <f t="shared" ca="1" si="50"/>
        <v>-38250</v>
      </c>
      <c r="Q429" s="667">
        <f t="shared" ca="1" si="46"/>
        <v>1</v>
      </c>
      <c r="R429" s="669" t="s">
        <v>749</v>
      </c>
    </row>
    <row r="430" spans="2:18" ht="39.950000000000003" customHeight="1" x14ac:dyDescent="0.25">
      <c r="B430" s="661">
        <v>40450</v>
      </c>
      <c r="C430" s="662" t="s">
        <v>2351</v>
      </c>
      <c r="D430" s="669" t="s">
        <v>745</v>
      </c>
      <c r="E430" s="651" t="s">
        <v>753</v>
      </c>
      <c r="F430" s="669" t="s">
        <v>754</v>
      </c>
      <c r="G430" s="651" t="s">
        <v>28</v>
      </c>
      <c r="H430" s="651" t="s">
        <v>23</v>
      </c>
      <c r="I430" s="651" t="s">
        <v>738</v>
      </c>
      <c r="J430" s="674">
        <v>57300</v>
      </c>
      <c r="K430" s="674">
        <v>36.950000000000003</v>
      </c>
      <c r="L430" s="655">
        <f t="shared" si="47"/>
        <v>1550.7442489851148</v>
      </c>
      <c r="M430" s="666">
        <v>60</v>
      </c>
      <c r="N430" s="667">
        <f t="shared" si="48"/>
        <v>955</v>
      </c>
      <c r="O430" s="668">
        <f t="shared" ca="1" si="49"/>
        <v>162</v>
      </c>
      <c r="P430" s="655">
        <f t="shared" ca="1" si="50"/>
        <v>-97410</v>
      </c>
      <c r="Q430" s="667">
        <f t="shared" ca="1" si="46"/>
        <v>1</v>
      </c>
      <c r="R430" s="669" t="s">
        <v>749</v>
      </c>
    </row>
    <row r="431" spans="2:18" ht="39.950000000000003" customHeight="1" x14ac:dyDescent="0.25">
      <c r="B431" s="661">
        <v>40450</v>
      </c>
      <c r="C431" s="662" t="s">
        <v>2351</v>
      </c>
      <c r="D431" s="669" t="s">
        <v>745</v>
      </c>
      <c r="E431" s="651" t="s">
        <v>755</v>
      </c>
      <c r="F431" s="669" t="s">
        <v>756</v>
      </c>
      <c r="G431" s="651" t="s">
        <v>757</v>
      </c>
      <c r="H431" s="651" t="s">
        <v>23</v>
      </c>
      <c r="I431" s="651" t="s">
        <v>738</v>
      </c>
      <c r="J431" s="674">
        <v>5500</v>
      </c>
      <c r="K431" s="674">
        <v>36.950000000000003</v>
      </c>
      <c r="L431" s="655">
        <f t="shared" si="47"/>
        <v>148.84979702300404</v>
      </c>
      <c r="M431" s="666">
        <v>60</v>
      </c>
      <c r="N431" s="667">
        <f t="shared" si="48"/>
        <v>91.666666666666671</v>
      </c>
      <c r="O431" s="668">
        <f t="shared" ca="1" si="49"/>
        <v>162</v>
      </c>
      <c r="P431" s="655">
        <f t="shared" ca="1" si="50"/>
        <v>-9350</v>
      </c>
      <c r="Q431" s="667">
        <f t="shared" ca="1" si="46"/>
        <v>1</v>
      </c>
      <c r="R431" s="669" t="s">
        <v>749</v>
      </c>
    </row>
    <row r="432" spans="2:18" ht="39.950000000000003" customHeight="1" x14ac:dyDescent="0.25">
      <c r="B432" s="661">
        <v>40450</v>
      </c>
      <c r="C432" s="662" t="s">
        <v>2351</v>
      </c>
      <c r="D432" s="669" t="s">
        <v>745</v>
      </c>
      <c r="E432" s="651" t="s">
        <v>758</v>
      </c>
      <c r="F432" s="669" t="s">
        <v>759</v>
      </c>
      <c r="G432" s="651" t="s">
        <v>760</v>
      </c>
      <c r="H432" s="651" t="s">
        <v>23</v>
      </c>
      <c r="I432" s="651" t="s">
        <v>738</v>
      </c>
      <c r="J432" s="674">
        <v>42000</v>
      </c>
      <c r="K432" s="674">
        <v>36.950000000000003</v>
      </c>
      <c r="L432" s="655">
        <f t="shared" si="47"/>
        <v>1136.6711772665765</v>
      </c>
      <c r="M432" s="666">
        <v>60</v>
      </c>
      <c r="N432" s="667">
        <f t="shared" si="48"/>
        <v>700</v>
      </c>
      <c r="O432" s="668">
        <f t="shared" ca="1" si="49"/>
        <v>162</v>
      </c>
      <c r="P432" s="655">
        <f t="shared" ca="1" si="50"/>
        <v>-71400</v>
      </c>
      <c r="Q432" s="667">
        <f t="shared" ca="1" si="46"/>
        <v>1</v>
      </c>
      <c r="R432" s="669" t="s">
        <v>749</v>
      </c>
    </row>
    <row r="433" spans="2:18" ht="52.5" customHeight="1" x14ac:dyDescent="0.25">
      <c r="B433" s="661">
        <v>40450</v>
      </c>
      <c r="C433" s="662" t="s">
        <v>2351</v>
      </c>
      <c r="D433" s="669" t="s">
        <v>745</v>
      </c>
      <c r="E433" s="651" t="s">
        <v>761</v>
      </c>
      <c r="F433" s="669" t="s">
        <v>759</v>
      </c>
      <c r="G433" s="651" t="s">
        <v>762</v>
      </c>
      <c r="H433" s="651" t="s">
        <v>23</v>
      </c>
      <c r="I433" s="651" t="s">
        <v>738</v>
      </c>
      <c r="J433" s="674">
        <v>42000</v>
      </c>
      <c r="K433" s="674">
        <v>36.950000000000003</v>
      </c>
      <c r="L433" s="655">
        <f t="shared" si="47"/>
        <v>1136.6711772665765</v>
      </c>
      <c r="M433" s="666">
        <v>60</v>
      </c>
      <c r="N433" s="667">
        <f t="shared" si="48"/>
        <v>700</v>
      </c>
      <c r="O433" s="668">
        <f t="shared" ca="1" si="49"/>
        <v>162</v>
      </c>
      <c r="P433" s="655">
        <f t="shared" ca="1" si="50"/>
        <v>-71400</v>
      </c>
      <c r="Q433" s="667">
        <f t="shared" ca="1" si="46"/>
        <v>1</v>
      </c>
      <c r="R433" s="669" t="s">
        <v>749</v>
      </c>
    </row>
    <row r="434" spans="2:18" ht="47.1" customHeight="1" x14ac:dyDescent="0.25">
      <c r="B434" s="661">
        <v>40506</v>
      </c>
      <c r="C434" s="662" t="s">
        <v>2351</v>
      </c>
      <c r="D434" s="669" t="s">
        <v>763</v>
      </c>
      <c r="E434" s="651" t="s">
        <v>764</v>
      </c>
      <c r="F434" s="669" t="s">
        <v>699</v>
      </c>
      <c r="G434" s="651" t="s">
        <v>28</v>
      </c>
      <c r="H434" s="651" t="s">
        <v>765</v>
      </c>
      <c r="I434" s="651" t="s">
        <v>19</v>
      </c>
      <c r="J434" s="674">
        <v>7584.05</v>
      </c>
      <c r="K434" s="674">
        <v>37.24</v>
      </c>
      <c r="L434" s="655">
        <f t="shared" si="47"/>
        <v>203.65332975295379</v>
      </c>
      <c r="M434" s="666">
        <v>60</v>
      </c>
      <c r="N434" s="667">
        <f t="shared" si="48"/>
        <v>126.40083333333334</v>
      </c>
      <c r="O434" s="668">
        <f t="shared" ca="1" si="49"/>
        <v>160</v>
      </c>
      <c r="P434" s="655">
        <f t="shared" ca="1" si="50"/>
        <v>-12640.083333333336</v>
      </c>
      <c r="Q434" s="667">
        <f t="shared" ca="1" si="46"/>
        <v>1</v>
      </c>
      <c r="R434" s="669" t="s">
        <v>700</v>
      </c>
    </row>
    <row r="435" spans="2:18" ht="47.1" customHeight="1" x14ac:dyDescent="0.25">
      <c r="B435" s="661">
        <v>40506</v>
      </c>
      <c r="C435" s="662" t="s">
        <v>2351</v>
      </c>
      <c r="D435" s="669" t="s">
        <v>763</v>
      </c>
      <c r="E435" s="651" t="s">
        <v>766</v>
      </c>
      <c r="F435" s="669" t="s">
        <v>699</v>
      </c>
      <c r="G435" s="651" t="s">
        <v>28</v>
      </c>
      <c r="H435" s="651" t="s">
        <v>765</v>
      </c>
      <c r="I435" s="651" t="s">
        <v>19</v>
      </c>
      <c r="J435" s="674">
        <v>7584.05</v>
      </c>
      <c r="K435" s="674">
        <v>37.24</v>
      </c>
      <c r="L435" s="655">
        <f t="shared" si="47"/>
        <v>203.65332975295379</v>
      </c>
      <c r="M435" s="666">
        <v>60</v>
      </c>
      <c r="N435" s="667">
        <f t="shared" si="48"/>
        <v>126.40083333333334</v>
      </c>
      <c r="O435" s="668">
        <f t="shared" ca="1" si="49"/>
        <v>160</v>
      </c>
      <c r="P435" s="655">
        <f t="shared" ca="1" si="50"/>
        <v>-12640.083333333336</v>
      </c>
      <c r="Q435" s="667">
        <f t="shared" ca="1" si="46"/>
        <v>1</v>
      </c>
      <c r="R435" s="669" t="s">
        <v>700</v>
      </c>
    </row>
    <row r="436" spans="2:18" ht="47.1" customHeight="1" x14ac:dyDescent="0.25">
      <c r="B436" s="661">
        <v>40582</v>
      </c>
      <c r="C436" s="662" t="s">
        <v>2351</v>
      </c>
      <c r="D436" s="669" t="s">
        <v>767</v>
      </c>
      <c r="E436" s="651" t="s">
        <v>768</v>
      </c>
      <c r="F436" s="669" t="s">
        <v>769</v>
      </c>
      <c r="G436" s="675" t="s">
        <v>770</v>
      </c>
      <c r="H436" s="651" t="s">
        <v>60</v>
      </c>
      <c r="I436" s="651" t="s">
        <v>19</v>
      </c>
      <c r="J436" s="674">
        <v>51577.599801000004</v>
      </c>
      <c r="K436" s="674">
        <v>37.520000000000003</v>
      </c>
      <c r="L436" s="655">
        <f t="shared" si="47"/>
        <v>1374.6695042910449</v>
      </c>
      <c r="M436" s="666">
        <v>60</v>
      </c>
      <c r="N436" s="667">
        <f t="shared" si="48"/>
        <v>859.62666335000006</v>
      </c>
      <c r="O436" s="668">
        <f t="shared" ca="1" si="49"/>
        <v>157</v>
      </c>
      <c r="P436" s="655">
        <f t="shared" ca="1" si="50"/>
        <v>-83383.78634495</v>
      </c>
      <c r="Q436" s="667">
        <f t="shared" ca="1" si="46"/>
        <v>1</v>
      </c>
      <c r="R436" s="669" t="s">
        <v>771</v>
      </c>
    </row>
    <row r="437" spans="2:18" ht="47.1" customHeight="1" x14ac:dyDescent="0.25">
      <c r="B437" s="661">
        <v>40582</v>
      </c>
      <c r="C437" s="662" t="s">
        <v>2351</v>
      </c>
      <c r="D437" s="669" t="s">
        <v>767</v>
      </c>
      <c r="E437" s="651" t="s">
        <v>772</v>
      </c>
      <c r="F437" s="669" t="s">
        <v>769</v>
      </c>
      <c r="G437" s="675" t="s">
        <v>773</v>
      </c>
      <c r="H437" s="651" t="s">
        <v>60</v>
      </c>
      <c r="I437" s="651" t="s">
        <v>19</v>
      </c>
      <c r="J437" s="674">
        <v>51577.599801000004</v>
      </c>
      <c r="K437" s="674">
        <v>37.520000000000003</v>
      </c>
      <c r="L437" s="655">
        <f t="shared" ref="L437:L481" si="51">+J437/K437</f>
        <v>1374.6695042910449</v>
      </c>
      <c r="M437" s="666">
        <v>60</v>
      </c>
      <c r="N437" s="667">
        <f t="shared" ref="N437:N482" si="52">IF(AND(J437&lt;&gt;0,M437&lt;&gt;0),J437/M437,0)</f>
        <v>859.62666335000006</v>
      </c>
      <c r="O437" s="668">
        <f t="shared" ref="O437:O481" ca="1" si="53">IF(B437&lt;&gt;0,(ROUND((NOW()-B437)/30,0)),0)</f>
        <v>157</v>
      </c>
      <c r="P437" s="655">
        <f t="shared" ca="1" si="50"/>
        <v>-83383.78634495</v>
      </c>
      <c r="Q437" s="667">
        <f t="shared" ca="1" si="46"/>
        <v>1</v>
      </c>
      <c r="R437" s="669" t="s">
        <v>771</v>
      </c>
    </row>
    <row r="438" spans="2:18" ht="47.1" customHeight="1" x14ac:dyDescent="0.25">
      <c r="B438" s="661">
        <v>40582</v>
      </c>
      <c r="C438" s="662" t="s">
        <v>2351</v>
      </c>
      <c r="D438" s="669" t="s">
        <v>767</v>
      </c>
      <c r="E438" s="651" t="s">
        <v>774</v>
      </c>
      <c r="F438" s="669" t="s">
        <v>769</v>
      </c>
      <c r="G438" s="675" t="s">
        <v>775</v>
      </c>
      <c r="H438" s="651" t="s">
        <v>23</v>
      </c>
      <c r="I438" s="651" t="s">
        <v>24</v>
      </c>
      <c r="J438" s="674">
        <v>51577.599801000004</v>
      </c>
      <c r="K438" s="674">
        <v>37.520000000000003</v>
      </c>
      <c r="L438" s="655">
        <f t="shared" si="51"/>
        <v>1374.6695042910449</v>
      </c>
      <c r="M438" s="666">
        <v>60</v>
      </c>
      <c r="N438" s="667">
        <f t="shared" si="52"/>
        <v>859.62666335000006</v>
      </c>
      <c r="O438" s="668">
        <f t="shared" ca="1" si="53"/>
        <v>157</v>
      </c>
      <c r="P438" s="655">
        <f t="shared" ref="P438:P482" ca="1" si="54">IF(OR(J438=0,M438=0,O438=0),0,J438-(N438*O438))</f>
        <v>-83383.78634495</v>
      </c>
      <c r="Q438" s="667">
        <f t="shared" ca="1" si="46"/>
        <v>1</v>
      </c>
      <c r="R438" s="669" t="s">
        <v>771</v>
      </c>
    </row>
    <row r="439" spans="2:18" ht="39.950000000000003" customHeight="1" x14ac:dyDescent="0.25">
      <c r="B439" s="661">
        <v>40590</v>
      </c>
      <c r="C439" s="662" t="s">
        <v>2351</v>
      </c>
      <c r="D439" s="669" t="s">
        <v>776</v>
      </c>
      <c r="E439" s="651" t="s">
        <v>779</v>
      </c>
      <c r="F439" s="669" t="s">
        <v>777</v>
      </c>
      <c r="G439" s="675" t="s">
        <v>780</v>
      </c>
      <c r="H439" s="651" t="s">
        <v>4430</v>
      </c>
      <c r="I439" s="651" t="s">
        <v>19</v>
      </c>
      <c r="J439" s="674">
        <v>64872</v>
      </c>
      <c r="K439" s="674">
        <v>37.61</v>
      </c>
      <c r="L439" s="655">
        <f t="shared" si="51"/>
        <v>1724.8604094655677</v>
      </c>
      <c r="M439" s="666">
        <v>60</v>
      </c>
      <c r="N439" s="667">
        <f t="shared" si="52"/>
        <v>1081.2</v>
      </c>
      <c r="O439" s="668">
        <f t="shared" ca="1" si="53"/>
        <v>157</v>
      </c>
      <c r="P439" s="655">
        <f t="shared" ca="1" si="54"/>
        <v>-104876.4</v>
      </c>
      <c r="Q439" s="667">
        <f t="shared" ca="1" si="46"/>
        <v>1</v>
      </c>
      <c r="R439" s="669" t="s">
        <v>778</v>
      </c>
    </row>
    <row r="440" spans="2:18" ht="39.950000000000003" customHeight="1" x14ac:dyDescent="0.25">
      <c r="B440" s="661">
        <v>40661</v>
      </c>
      <c r="C440" s="662" t="s">
        <v>2351</v>
      </c>
      <c r="D440" s="669" t="s">
        <v>783</v>
      </c>
      <c r="E440" s="651" t="s">
        <v>784</v>
      </c>
      <c r="F440" s="669" t="s">
        <v>785</v>
      </c>
      <c r="G440" s="675" t="s">
        <v>786</v>
      </c>
      <c r="H440" s="651" t="s">
        <v>781</v>
      </c>
      <c r="I440" s="651" t="s">
        <v>782</v>
      </c>
      <c r="J440" s="674">
        <v>22745.999999999996</v>
      </c>
      <c r="K440" s="674">
        <v>37.909999999999997</v>
      </c>
      <c r="L440" s="655">
        <f t="shared" si="51"/>
        <v>600</v>
      </c>
      <c r="M440" s="666">
        <v>60</v>
      </c>
      <c r="N440" s="667">
        <f t="shared" si="52"/>
        <v>379.09999999999997</v>
      </c>
      <c r="O440" s="668">
        <f t="shared" ca="1" si="53"/>
        <v>155</v>
      </c>
      <c r="P440" s="655">
        <f t="shared" ca="1" si="54"/>
        <v>-36014.5</v>
      </c>
      <c r="Q440" s="667">
        <f t="shared" ca="1" si="46"/>
        <v>1</v>
      </c>
      <c r="R440" s="669" t="s">
        <v>787</v>
      </c>
    </row>
    <row r="441" spans="2:18" ht="39.950000000000003" customHeight="1" x14ac:dyDescent="0.25">
      <c r="B441" s="661">
        <v>40662</v>
      </c>
      <c r="C441" s="662" t="s">
        <v>2351</v>
      </c>
      <c r="D441" s="669" t="s">
        <v>788</v>
      </c>
      <c r="E441" s="651" t="s">
        <v>789</v>
      </c>
      <c r="F441" s="669" t="s">
        <v>790</v>
      </c>
      <c r="G441" s="675" t="s">
        <v>28</v>
      </c>
      <c r="H441" s="651" t="s">
        <v>781</v>
      </c>
      <c r="I441" s="651" t="s">
        <v>782</v>
      </c>
      <c r="J441" s="674">
        <v>10199.15</v>
      </c>
      <c r="K441" s="674">
        <v>37.85</v>
      </c>
      <c r="L441" s="655">
        <f t="shared" si="51"/>
        <v>269.46235138705413</v>
      </c>
      <c r="M441" s="666">
        <v>60</v>
      </c>
      <c r="N441" s="667">
        <f t="shared" si="52"/>
        <v>169.98583333333332</v>
      </c>
      <c r="O441" s="668">
        <f t="shared" ca="1" si="53"/>
        <v>155</v>
      </c>
      <c r="P441" s="655">
        <f t="shared" ca="1" si="54"/>
        <v>-16148.654166666665</v>
      </c>
      <c r="Q441" s="667">
        <f t="shared" ca="1" si="46"/>
        <v>1</v>
      </c>
      <c r="R441" s="669" t="s">
        <v>791</v>
      </c>
    </row>
    <row r="442" spans="2:18" ht="39.950000000000003" customHeight="1" x14ac:dyDescent="0.25">
      <c r="B442" s="661">
        <v>40662</v>
      </c>
      <c r="C442" s="662" t="s">
        <v>2351</v>
      </c>
      <c r="D442" s="669" t="s">
        <v>792</v>
      </c>
      <c r="E442" s="651" t="s">
        <v>793</v>
      </c>
      <c r="F442" s="669" t="s">
        <v>790</v>
      </c>
      <c r="G442" s="675" t="s">
        <v>28</v>
      </c>
      <c r="H442" s="651" t="s">
        <v>781</v>
      </c>
      <c r="I442" s="651" t="s">
        <v>782</v>
      </c>
      <c r="J442" s="674">
        <v>10199.15</v>
      </c>
      <c r="K442" s="674">
        <v>37.85</v>
      </c>
      <c r="L442" s="655">
        <f t="shared" si="51"/>
        <v>269.46235138705413</v>
      </c>
      <c r="M442" s="666">
        <v>60</v>
      </c>
      <c r="N442" s="667">
        <f t="shared" si="52"/>
        <v>169.98583333333332</v>
      </c>
      <c r="O442" s="668">
        <f t="shared" ca="1" si="53"/>
        <v>155</v>
      </c>
      <c r="P442" s="655">
        <f t="shared" ca="1" si="54"/>
        <v>-16148.654166666665</v>
      </c>
      <c r="Q442" s="667">
        <f t="shared" ca="1" si="46"/>
        <v>1</v>
      </c>
      <c r="R442" s="669" t="s">
        <v>791</v>
      </c>
    </row>
    <row r="443" spans="2:18" ht="39.950000000000003" customHeight="1" x14ac:dyDescent="0.25">
      <c r="B443" s="661">
        <v>40662</v>
      </c>
      <c r="C443" s="662" t="s">
        <v>2351</v>
      </c>
      <c r="D443" s="669" t="s">
        <v>794</v>
      </c>
      <c r="E443" s="651" t="s">
        <v>795</v>
      </c>
      <c r="F443" s="669" t="s">
        <v>796</v>
      </c>
      <c r="G443" s="675" t="s">
        <v>797</v>
      </c>
      <c r="H443" s="651" t="s">
        <v>781</v>
      </c>
      <c r="I443" s="651" t="s">
        <v>782</v>
      </c>
      <c r="J443" s="674">
        <v>1996.65</v>
      </c>
      <c r="K443" s="674">
        <v>37.85</v>
      </c>
      <c r="L443" s="655">
        <f t="shared" si="51"/>
        <v>52.751651254953764</v>
      </c>
      <c r="M443" s="666">
        <v>60</v>
      </c>
      <c r="N443" s="667">
        <f t="shared" si="52"/>
        <v>33.277500000000003</v>
      </c>
      <c r="O443" s="668">
        <f t="shared" ca="1" si="53"/>
        <v>155</v>
      </c>
      <c r="P443" s="655">
        <f t="shared" ca="1" si="54"/>
        <v>-3161.3625000000006</v>
      </c>
      <c r="Q443" s="667">
        <f t="shared" ca="1" si="46"/>
        <v>1</v>
      </c>
      <c r="R443" s="669" t="s">
        <v>791</v>
      </c>
    </row>
    <row r="444" spans="2:18" ht="39.950000000000003" customHeight="1" x14ac:dyDescent="0.25">
      <c r="B444" s="661">
        <v>40662</v>
      </c>
      <c r="C444" s="662" t="s">
        <v>2351</v>
      </c>
      <c r="D444" s="669" t="s">
        <v>798</v>
      </c>
      <c r="E444" s="651" t="s">
        <v>799</v>
      </c>
      <c r="F444" s="669" t="s">
        <v>800</v>
      </c>
      <c r="G444" s="675" t="s">
        <v>801</v>
      </c>
      <c r="H444" s="651" t="s">
        <v>781</v>
      </c>
      <c r="I444" s="651" t="s">
        <v>782</v>
      </c>
      <c r="J444" s="674">
        <v>4913.76</v>
      </c>
      <c r="K444" s="674">
        <v>37.85</v>
      </c>
      <c r="L444" s="655">
        <f t="shared" si="51"/>
        <v>129.821928665786</v>
      </c>
      <c r="M444" s="666">
        <v>60</v>
      </c>
      <c r="N444" s="667">
        <f t="shared" si="52"/>
        <v>81.896000000000001</v>
      </c>
      <c r="O444" s="668">
        <f t="shared" ca="1" si="53"/>
        <v>155</v>
      </c>
      <c r="P444" s="655">
        <f t="shared" ca="1" si="54"/>
        <v>-7780.1200000000008</v>
      </c>
      <c r="Q444" s="667">
        <f t="shared" ca="1" si="46"/>
        <v>1</v>
      </c>
      <c r="R444" s="669" t="s">
        <v>802</v>
      </c>
    </row>
    <row r="445" spans="2:18" ht="39.950000000000003" customHeight="1" x14ac:dyDescent="0.25">
      <c r="B445" s="661">
        <v>40663</v>
      </c>
      <c r="C445" s="662" t="s">
        <v>2351</v>
      </c>
      <c r="D445" s="669" t="s">
        <v>803</v>
      </c>
      <c r="E445" s="651" t="s">
        <v>804</v>
      </c>
      <c r="F445" s="669" t="s">
        <v>805</v>
      </c>
      <c r="G445" s="675" t="s">
        <v>28</v>
      </c>
      <c r="H445" s="651" t="s">
        <v>781</v>
      </c>
      <c r="I445" s="651" t="s">
        <v>782</v>
      </c>
      <c r="J445" s="674">
        <v>2246.12</v>
      </c>
      <c r="K445" s="674">
        <v>37.85</v>
      </c>
      <c r="L445" s="655">
        <f t="shared" si="51"/>
        <v>59.342668428005275</v>
      </c>
      <c r="M445" s="666">
        <v>60</v>
      </c>
      <c r="N445" s="667">
        <f t="shared" si="52"/>
        <v>37.435333333333332</v>
      </c>
      <c r="O445" s="668">
        <f t="shared" ca="1" si="53"/>
        <v>155</v>
      </c>
      <c r="P445" s="655">
        <f t="shared" ca="1" si="54"/>
        <v>-3556.3566666666666</v>
      </c>
      <c r="Q445" s="667">
        <f t="shared" ca="1" si="46"/>
        <v>1</v>
      </c>
      <c r="R445" s="669" t="s">
        <v>806</v>
      </c>
    </row>
    <row r="446" spans="2:18" ht="39.950000000000003" customHeight="1" x14ac:dyDescent="0.25">
      <c r="B446" s="661">
        <v>40663</v>
      </c>
      <c r="C446" s="662" t="s">
        <v>2351</v>
      </c>
      <c r="D446" s="669" t="s">
        <v>803</v>
      </c>
      <c r="E446" s="651" t="s">
        <v>807</v>
      </c>
      <c r="F446" s="669" t="s">
        <v>805</v>
      </c>
      <c r="G446" s="675" t="s">
        <v>28</v>
      </c>
      <c r="H446" s="651" t="s">
        <v>781</v>
      </c>
      <c r="I446" s="651" t="s">
        <v>782</v>
      </c>
      <c r="J446" s="674">
        <v>2246.12</v>
      </c>
      <c r="K446" s="674">
        <v>37.85</v>
      </c>
      <c r="L446" s="655">
        <f t="shared" si="51"/>
        <v>59.342668428005275</v>
      </c>
      <c r="M446" s="666">
        <v>60</v>
      </c>
      <c r="N446" s="667">
        <f t="shared" si="52"/>
        <v>37.435333333333332</v>
      </c>
      <c r="O446" s="668">
        <f t="shared" ca="1" si="53"/>
        <v>155</v>
      </c>
      <c r="P446" s="655">
        <f t="shared" ca="1" si="54"/>
        <v>-3556.3566666666666</v>
      </c>
      <c r="Q446" s="667">
        <f t="shared" ca="1" si="46"/>
        <v>1</v>
      </c>
      <c r="R446" s="669" t="s">
        <v>806</v>
      </c>
    </row>
    <row r="447" spans="2:18" ht="39.950000000000003" customHeight="1" x14ac:dyDescent="0.25">
      <c r="B447" s="661">
        <v>40669</v>
      </c>
      <c r="C447" s="662" t="s">
        <v>2351</v>
      </c>
      <c r="D447" s="669" t="s">
        <v>808</v>
      </c>
      <c r="E447" s="651" t="s">
        <v>809</v>
      </c>
      <c r="F447" s="669" t="s">
        <v>810</v>
      </c>
      <c r="G447" s="675" t="s">
        <v>811</v>
      </c>
      <c r="H447" s="651" t="s">
        <v>40</v>
      </c>
      <c r="I447" s="651" t="s">
        <v>19</v>
      </c>
      <c r="J447" s="674">
        <v>9325</v>
      </c>
      <c r="K447" s="674">
        <v>37.85</v>
      </c>
      <c r="L447" s="655">
        <f t="shared" si="51"/>
        <v>246.3672391017173</v>
      </c>
      <c r="M447" s="666">
        <v>120</v>
      </c>
      <c r="N447" s="667">
        <f t="shared" si="52"/>
        <v>77.708333333333329</v>
      </c>
      <c r="O447" s="668">
        <f t="shared" ca="1" si="53"/>
        <v>154</v>
      </c>
      <c r="P447" s="655">
        <f t="shared" ca="1" si="54"/>
        <v>-2642.0833333333321</v>
      </c>
      <c r="Q447" s="667">
        <f t="shared" ca="1" si="46"/>
        <v>1</v>
      </c>
      <c r="R447" s="669" t="s">
        <v>812</v>
      </c>
    </row>
    <row r="448" spans="2:18" ht="47.1" customHeight="1" x14ac:dyDescent="0.25">
      <c r="B448" s="661">
        <v>40669</v>
      </c>
      <c r="C448" s="662" t="s">
        <v>2351</v>
      </c>
      <c r="D448" s="669" t="s">
        <v>808</v>
      </c>
      <c r="E448" s="651" t="s">
        <v>813</v>
      </c>
      <c r="F448" s="669" t="s">
        <v>810</v>
      </c>
      <c r="G448" s="675" t="s">
        <v>814</v>
      </c>
      <c r="H448" s="651" t="s">
        <v>40</v>
      </c>
      <c r="I448" s="651" t="s">
        <v>19</v>
      </c>
      <c r="J448" s="674">
        <v>9325</v>
      </c>
      <c r="K448" s="674">
        <v>37.85</v>
      </c>
      <c r="L448" s="655">
        <f t="shared" si="51"/>
        <v>246.3672391017173</v>
      </c>
      <c r="M448" s="666">
        <v>120</v>
      </c>
      <c r="N448" s="667">
        <f t="shared" si="52"/>
        <v>77.708333333333329</v>
      </c>
      <c r="O448" s="668">
        <f t="shared" ca="1" si="53"/>
        <v>154</v>
      </c>
      <c r="P448" s="655">
        <f t="shared" ca="1" si="54"/>
        <v>-2642.0833333333321</v>
      </c>
      <c r="Q448" s="667">
        <f t="shared" ca="1" si="46"/>
        <v>1</v>
      </c>
      <c r="R448" s="669" t="s">
        <v>812</v>
      </c>
    </row>
    <row r="449" spans="2:18" ht="47.1" customHeight="1" x14ac:dyDescent="0.25">
      <c r="B449" s="661">
        <v>40669</v>
      </c>
      <c r="C449" s="662" t="s">
        <v>2351</v>
      </c>
      <c r="D449" s="669" t="s">
        <v>808</v>
      </c>
      <c r="E449" s="651" t="s">
        <v>815</v>
      </c>
      <c r="F449" s="669" t="s">
        <v>810</v>
      </c>
      <c r="G449" s="675" t="s">
        <v>816</v>
      </c>
      <c r="H449" s="651" t="s">
        <v>40</v>
      </c>
      <c r="I449" s="651" t="s">
        <v>19</v>
      </c>
      <c r="J449" s="674">
        <v>9325</v>
      </c>
      <c r="K449" s="674">
        <v>37.85</v>
      </c>
      <c r="L449" s="655">
        <f t="shared" si="51"/>
        <v>246.3672391017173</v>
      </c>
      <c r="M449" s="666">
        <v>120</v>
      </c>
      <c r="N449" s="667">
        <f t="shared" si="52"/>
        <v>77.708333333333329</v>
      </c>
      <c r="O449" s="668">
        <f t="shared" ca="1" si="53"/>
        <v>154</v>
      </c>
      <c r="P449" s="655">
        <f t="shared" ca="1" si="54"/>
        <v>-2642.0833333333321</v>
      </c>
      <c r="Q449" s="667">
        <f t="shared" ca="1" si="46"/>
        <v>1</v>
      </c>
      <c r="R449" s="669" t="s">
        <v>812</v>
      </c>
    </row>
    <row r="450" spans="2:18" ht="47.1" customHeight="1" x14ac:dyDescent="0.25">
      <c r="B450" s="661">
        <v>40669</v>
      </c>
      <c r="C450" s="662" t="s">
        <v>2351</v>
      </c>
      <c r="D450" s="669" t="s">
        <v>808</v>
      </c>
      <c r="E450" s="651" t="s">
        <v>817</v>
      </c>
      <c r="F450" s="669" t="s">
        <v>810</v>
      </c>
      <c r="G450" s="675" t="s">
        <v>818</v>
      </c>
      <c r="H450" s="651" t="s">
        <v>40</v>
      </c>
      <c r="I450" s="651" t="s">
        <v>19</v>
      </c>
      <c r="J450" s="674">
        <v>9325</v>
      </c>
      <c r="K450" s="674">
        <v>37.85</v>
      </c>
      <c r="L450" s="655">
        <f t="shared" si="51"/>
        <v>246.3672391017173</v>
      </c>
      <c r="M450" s="666">
        <v>120</v>
      </c>
      <c r="N450" s="667">
        <f t="shared" si="52"/>
        <v>77.708333333333329</v>
      </c>
      <c r="O450" s="668">
        <f t="shared" ca="1" si="53"/>
        <v>154</v>
      </c>
      <c r="P450" s="655">
        <f t="shared" ca="1" si="54"/>
        <v>-2642.0833333333321</v>
      </c>
      <c r="Q450" s="667">
        <f t="shared" ca="1" si="46"/>
        <v>1</v>
      </c>
      <c r="R450" s="669" t="s">
        <v>812</v>
      </c>
    </row>
    <row r="451" spans="2:18" ht="47.1" customHeight="1" x14ac:dyDescent="0.25">
      <c r="B451" s="661">
        <v>40669</v>
      </c>
      <c r="C451" s="662" t="s">
        <v>2351</v>
      </c>
      <c r="D451" s="669" t="s">
        <v>808</v>
      </c>
      <c r="E451" s="651" t="s">
        <v>819</v>
      </c>
      <c r="F451" s="669" t="s">
        <v>810</v>
      </c>
      <c r="G451" s="675" t="s">
        <v>820</v>
      </c>
      <c r="H451" s="651" t="s">
        <v>40</v>
      </c>
      <c r="I451" s="651" t="s">
        <v>19</v>
      </c>
      <c r="J451" s="674">
        <v>9325</v>
      </c>
      <c r="K451" s="674">
        <v>37.85</v>
      </c>
      <c r="L451" s="655">
        <f t="shared" si="51"/>
        <v>246.3672391017173</v>
      </c>
      <c r="M451" s="666">
        <v>120</v>
      </c>
      <c r="N451" s="667">
        <f t="shared" si="52"/>
        <v>77.708333333333329</v>
      </c>
      <c r="O451" s="668">
        <f t="shared" ca="1" si="53"/>
        <v>154</v>
      </c>
      <c r="P451" s="655">
        <f t="shared" ca="1" si="54"/>
        <v>-2642.0833333333321</v>
      </c>
      <c r="Q451" s="667">
        <f t="shared" ca="1" si="46"/>
        <v>1</v>
      </c>
      <c r="R451" s="669" t="s">
        <v>812</v>
      </c>
    </row>
    <row r="452" spans="2:18" ht="47.1" customHeight="1" x14ac:dyDescent="0.25">
      <c r="B452" s="661">
        <v>40669</v>
      </c>
      <c r="C452" s="662" t="s">
        <v>2351</v>
      </c>
      <c r="D452" s="669" t="s">
        <v>808</v>
      </c>
      <c r="E452" s="651" t="s">
        <v>821</v>
      </c>
      <c r="F452" s="669" t="s">
        <v>810</v>
      </c>
      <c r="G452" s="675" t="s">
        <v>822</v>
      </c>
      <c r="H452" s="651" t="s">
        <v>40</v>
      </c>
      <c r="I452" s="651" t="s">
        <v>19</v>
      </c>
      <c r="J452" s="674">
        <v>9325</v>
      </c>
      <c r="K452" s="674">
        <v>37.85</v>
      </c>
      <c r="L452" s="655">
        <f t="shared" si="51"/>
        <v>246.3672391017173</v>
      </c>
      <c r="M452" s="666">
        <v>120</v>
      </c>
      <c r="N452" s="667">
        <f t="shared" si="52"/>
        <v>77.708333333333329</v>
      </c>
      <c r="O452" s="668">
        <f t="shared" ca="1" si="53"/>
        <v>154</v>
      </c>
      <c r="P452" s="655">
        <f t="shared" ca="1" si="54"/>
        <v>-2642.0833333333321</v>
      </c>
      <c r="Q452" s="667">
        <f t="shared" ca="1" si="46"/>
        <v>1</v>
      </c>
      <c r="R452" s="669" t="s">
        <v>812</v>
      </c>
    </row>
    <row r="453" spans="2:18" ht="71.25" customHeight="1" x14ac:dyDescent="0.25">
      <c r="B453" s="661">
        <v>40681</v>
      </c>
      <c r="C453" s="662" t="s">
        <v>2351</v>
      </c>
      <c r="D453" s="669" t="s">
        <v>823</v>
      </c>
      <c r="E453" s="651" t="s">
        <v>692</v>
      </c>
      <c r="F453" s="669" t="s">
        <v>824</v>
      </c>
      <c r="G453" s="675" t="s">
        <v>694</v>
      </c>
      <c r="H453" s="651" t="s">
        <v>60</v>
      </c>
      <c r="I453" s="651" t="s">
        <v>19</v>
      </c>
      <c r="J453" s="674">
        <v>318815.53000000003</v>
      </c>
      <c r="K453" s="674">
        <v>37.89</v>
      </c>
      <c r="L453" s="655">
        <f t="shared" si="51"/>
        <v>8414.2393771443658</v>
      </c>
      <c r="M453" s="666">
        <v>60</v>
      </c>
      <c r="N453" s="667">
        <f t="shared" si="52"/>
        <v>5313.5921666666673</v>
      </c>
      <c r="O453" s="668">
        <f t="shared" ca="1" si="53"/>
        <v>154</v>
      </c>
      <c r="P453" s="655">
        <f t="shared" ca="1" si="54"/>
        <v>-499477.66366666672</v>
      </c>
      <c r="Q453" s="667">
        <f t="shared" ca="1" si="46"/>
        <v>1</v>
      </c>
      <c r="R453" s="669" t="s">
        <v>370</v>
      </c>
    </row>
    <row r="454" spans="2:18" ht="173.25" customHeight="1" x14ac:dyDescent="0.25">
      <c r="B454" s="661">
        <v>40696</v>
      </c>
      <c r="C454" s="662" t="s">
        <v>2351</v>
      </c>
      <c r="D454" s="669" t="s">
        <v>825</v>
      </c>
      <c r="E454" s="651" t="s">
        <v>826</v>
      </c>
      <c r="F454" s="678" t="s">
        <v>4445</v>
      </c>
      <c r="G454" s="675" t="s">
        <v>827</v>
      </c>
      <c r="H454" s="651" t="s">
        <v>23</v>
      </c>
      <c r="I454" s="651" t="s">
        <v>738</v>
      </c>
      <c r="J454" s="674">
        <v>3250000</v>
      </c>
      <c r="K454" s="674">
        <v>38.01</v>
      </c>
      <c r="L454" s="655">
        <f t="shared" si="51"/>
        <v>85503.814785582741</v>
      </c>
      <c r="M454" s="666">
        <v>120</v>
      </c>
      <c r="N454" s="667">
        <f t="shared" si="52"/>
        <v>27083.333333333332</v>
      </c>
      <c r="O454" s="668">
        <f t="shared" ca="1" si="53"/>
        <v>154</v>
      </c>
      <c r="P454" s="655">
        <f t="shared" ca="1" si="54"/>
        <v>-920833.33333333302</v>
      </c>
      <c r="Q454" s="667">
        <f t="shared" ca="1" si="46"/>
        <v>1</v>
      </c>
      <c r="R454" s="669" t="s">
        <v>828</v>
      </c>
    </row>
    <row r="455" spans="2:18" ht="47.25" customHeight="1" x14ac:dyDescent="0.25">
      <c r="B455" s="661">
        <v>40799</v>
      </c>
      <c r="C455" s="662" t="s">
        <v>2351</v>
      </c>
      <c r="D455" s="669" t="s">
        <v>829</v>
      </c>
      <c r="E455" s="651" t="s">
        <v>830</v>
      </c>
      <c r="F455" s="669" t="s">
        <v>831</v>
      </c>
      <c r="G455" s="651" t="s">
        <v>832</v>
      </c>
      <c r="H455" s="651" t="s">
        <v>833</v>
      </c>
      <c r="I455" s="651" t="s">
        <v>19</v>
      </c>
      <c r="J455" s="674">
        <v>11504.88</v>
      </c>
      <c r="K455" s="674">
        <v>38.15</v>
      </c>
      <c r="L455" s="655">
        <f t="shared" si="51"/>
        <v>301.56959370904326</v>
      </c>
      <c r="M455" s="666">
        <v>60</v>
      </c>
      <c r="N455" s="667">
        <f t="shared" si="52"/>
        <v>191.74799999999999</v>
      </c>
      <c r="O455" s="668">
        <f t="shared" ca="1" si="53"/>
        <v>150</v>
      </c>
      <c r="P455" s="655">
        <f t="shared" ca="1" si="54"/>
        <v>-17257.32</v>
      </c>
      <c r="Q455" s="667">
        <f t="shared" ca="1" si="46"/>
        <v>1</v>
      </c>
      <c r="R455" s="669" t="s">
        <v>370</v>
      </c>
    </row>
    <row r="456" spans="2:18" ht="39.950000000000003" customHeight="1" x14ac:dyDescent="0.25">
      <c r="B456" s="661">
        <v>40905</v>
      </c>
      <c r="C456" s="662" t="s">
        <v>2351</v>
      </c>
      <c r="D456" s="669" t="s">
        <v>834</v>
      </c>
      <c r="E456" s="651" t="s">
        <v>835</v>
      </c>
      <c r="F456" s="669" t="s">
        <v>836</v>
      </c>
      <c r="G456" s="651" t="s">
        <v>837</v>
      </c>
      <c r="H456" s="679" t="s">
        <v>45</v>
      </c>
      <c r="I456" s="679" t="s">
        <v>838</v>
      </c>
      <c r="J456" s="674">
        <v>30994.92</v>
      </c>
      <c r="K456" s="674">
        <v>38.53</v>
      </c>
      <c r="L456" s="655">
        <f t="shared" si="51"/>
        <v>804.43602387749797</v>
      </c>
      <c r="M456" s="666">
        <v>120</v>
      </c>
      <c r="N456" s="667">
        <f t="shared" si="52"/>
        <v>258.291</v>
      </c>
      <c r="O456" s="668">
        <f t="shared" ca="1" si="53"/>
        <v>147</v>
      </c>
      <c r="P456" s="655">
        <f t="shared" ca="1" si="54"/>
        <v>-6973.8570000000036</v>
      </c>
      <c r="Q456" s="667">
        <f t="shared" ref="Q456:Q519" ca="1" si="55">IF(P456&lt;1,1,P456)</f>
        <v>1</v>
      </c>
      <c r="R456" s="669" t="s">
        <v>839</v>
      </c>
    </row>
    <row r="457" spans="2:18" ht="39.950000000000003" customHeight="1" x14ac:dyDescent="0.25">
      <c r="B457" s="661">
        <v>41024</v>
      </c>
      <c r="C457" s="662" t="s">
        <v>2351</v>
      </c>
      <c r="D457" s="669" t="s">
        <v>840</v>
      </c>
      <c r="E457" s="651" t="s">
        <v>841</v>
      </c>
      <c r="F457" s="669" t="s">
        <v>842</v>
      </c>
      <c r="G457" s="675" t="s">
        <v>843</v>
      </c>
      <c r="H457" s="651" t="s">
        <v>844</v>
      </c>
      <c r="I457" s="651" t="s">
        <v>19</v>
      </c>
      <c r="J457" s="664">
        <v>12500</v>
      </c>
      <c r="K457" s="665">
        <v>39.03</v>
      </c>
      <c r="L457" s="655">
        <f t="shared" si="51"/>
        <v>320.26646169613116</v>
      </c>
      <c r="M457" s="666">
        <v>60</v>
      </c>
      <c r="N457" s="667">
        <f t="shared" si="52"/>
        <v>208.33333333333334</v>
      </c>
      <c r="O457" s="668">
        <f t="shared" ca="1" si="53"/>
        <v>143</v>
      </c>
      <c r="P457" s="655">
        <f t="shared" ca="1" si="54"/>
        <v>-17291.666666666668</v>
      </c>
      <c r="Q457" s="667">
        <f t="shared" ca="1" si="55"/>
        <v>1</v>
      </c>
      <c r="R457" s="669" t="s">
        <v>845</v>
      </c>
    </row>
    <row r="458" spans="2:18" ht="53.25" customHeight="1" x14ac:dyDescent="0.25">
      <c r="B458" s="661">
        <v>41033</v>
      </c>
      <c r="C458" s="662" t="s">
        <v>2351</v>
      </c>
      <c r="D458" s="669" t="s">
        <v>846</v>
      </c>
      <c r="E458" s="651" t="s">
        <v>847</v>
      </c>
      <c r="F458" s="669" t="s">
        <v>848</v>
      </c>
      <c r="G458" s="675" t="s">
        <v>849</v>
      </c>
      <c r="H458" s="651" t="s">
        <v>765</v>
      </c>
      <c r="I458" s="651" t="s">
        <v>19</v>
      </c>
      <c r="J458" s="664">
        <v>7034</v>
      </c>
      <c r="K458" s="665">
        <v>39.03</v>
      </c>
      <c r="L458" s="655">
        <f t="shared" si="51"/>
        <v>180.22034332564692</v>
      </c>
      <c r="M458" s="666">
        <v>60</v>
      </c>
      <c r="N458" s="667">
        <f t="shared" si="52"/>
        <v>117.23333333333333</v>
      </c>
      <c r="O458" s="668">
        <f t="shared" ca="1" si="53"/>
        <v>142</v>
      </c>
      <c r="P458" s="655">
        <f t="shared" ca="1" si="54"/>
        <v>-9613.133333333335</v>
      </c>
      <c r="Q458" s="667">
        <f t="shared" ca="1" si="55"/>
        <v>1</v>
      </c>
      <c r="R458" s="669" t="s">
        <v>850</v>
      </c>
    </row>
    <row r="459" spans="2:18" ht="39.950000000000003" customHeight="1" x14ac:dyDescent="0.25">
      <c r="B459" s="661">
        <v>41033</v>
      </c>
      <c r="C459" s="662" t="s">
        <v>2351</v>
      </c>
      <c r="D459" s="669" t="s">
        <v>846</v>
      </c>
      <c r="E459" s="651" t="s">
        <v>851</v>
      </c>
      <c r="F459" s="669" t="s">
        <v>848</v>
      </c>
      <c r="G459" s="675" t="s">
        <v>849</v>
      </c>
      <c r="H459" s="651" t="s">
        <v>765</v>
      </c>
      <c r="I459" s="651" t="s">
        <v>19</v>
      </c>
      <c r="J459" s="664">
        <v>7034</v>
      </c>
      <c r="K459" s="665">
        <v>39.03</v>
      </c>
      <c r="L459" s="655">
        <f t="shared" si="51"/>
        <v>180.22034332564692</v>
      </c>
      <c r="M459" s="666">
        <v>60</v>
      </c>
      <c r="N459" s="667">
        <f t="shared" si="52"/>
        <v>117.23333333333333</v>
      </c>
      <c r="O459" s="668">
        <f t="shared" ca="1" si="53"/>
        <v>142</v>
      </c>
      <c r="P459" s="655">
        <f t="shared" ca="1" si="54"/>
        <v>-9613.133333333335</v>
      </c>
      <c r="Q459" s="667">
        <f t="shared" ca="1" si="55"/>
        <v>1</v>
      </c>
      <c r="R459" s="669" t="s">
        <v>850</v>
      </c>
    </row>
    <row r="460" spans="2:18" ht="39.950000000000003" customHeight="1" x14ac:dyDescent="0.25">
      <c r="B460" s="661">
        <v>41033</v>
      </c>
      <c r="C460" s="662" t="s">
        <v>2351</v>
      </c>
      <c r="D460" s="669" t="s">
        <v>846</v>
      </c>
      <c r="E460" s="651" t="s">
        <v>852</v>
      </c>
      <c r="F460" s="669" t="s">
        <v>848</v>
      </c>
      <c r="G460" s="675" t="s">
        <v>849</v>
      </c>
      <c r="H460" s="651" t="s">
        <v>765</v>
      </c>
      <c r="I460" s="651" t="s">
        <v>19</v>
      </c>
      <c r="J460" s="664">
        <v>7034</v>
      </c>
      <c r="K460" s="665">
        <v>39.03</v>
      </c>
      <c r="L460" s="655">
        <f t="shared" si="51"/>
        <v>180.22034332564692</v>
      </c>
      <c r="M460" s="666">
        <v>60</v>
      </c>
      <c r="N460" s="667">
        <f t="shared" si="52"/>
        <v>117.23333333333333</v>
      </c>
      <c r="O460" s="668">
        <f t="shared" ca="1" si="53"/>
        <v>142</v>
      </c>
      <c r="P460" s="655">
        <f t="shared" ca="1" si="54"/>
        <v>-9613.133333333335</v>
      </c>
      <c r="Q460" s="667">
        <f t="shared" ca="1" si="55"/>
        <v>1</v>
      </c>
      <c r="R460" s="669" t="s">
        <v>850</v>
      </c>
    </row>
    <row r="461" spans="2:18" ht="39.950000000000003" customHeight="1" x14ac:dyDescent="0.25">
      <c r="B461" s="661">
        <v>41033</v>
      </c>
      <c r="C461" s="662" t="s">
        <v>2351</v>
      </c>
      <c r="D461" s="669" t="s">
        <v>846</v>
      </c>
      <c r="E461" s="651" t="s">
        <v>853</v>
      </c>
      <c r="F461" s="669" t="s">
        <v>848</v>
      </c>
      <c r="G461" s="675" t="s">
        <v>849</v>
      </c>
      <c r="H461" s="651" t="s">
        <v>765</v>
      </c>
      <c r="I461" s="651" t="s">
        <v>19</v>
      </c>
      <c r="J461" s="664">
        <v>7034</v>
      </c>
      <c r="K461" s="665">
        <v>39.03</v>
      </c>
      <c r="L461" s="655">
        <f t="shared" si="51"/>
        <v>180.22034332564692</v>
      </c>
      <c r="M461" s="666">
        <v>60</v>
      </c>
      <c r="N461" s="667">
        <f t="shared" si="52"/>
        <v>117.23333333333333</v>
      </c>
      <c r="O461" s="668">
        <f t="shared" ca="1" si="53"/>
        <v>142</v>
      </c>
      <c r="P461" s="655">
        <f t="shared" ca="1" si="54"/>
        <v>-9613.133333333335</v>
      </c>
      <c r="Q461" s="667">
        <f t="shared" ca="1" si="55"/>
        <v>1</v>
      </c>
      <c r="R461" s="669" t="s">
        <v>850</v>
      </c>
    </row>
    <row r="462" spans="2:18" ht="56.25" customHeight="1" x14ac:dyDescent="0.25">
      <c r="B462" s="661">
        <v>41033</v>
      </c>
      <c r="C462" s="662" t="s">
        <v>2351</v>
      </c>
      <c r="D462" s="669" t="s">
        <v>846</v>
      </c>
      <c r="E462" s="651" t="s">
        <v>854</v>
      </c>
      <c r="F462" s="669" t="s">
        <v>848</v>
      </c>
      <c r="G462" s="675" t="s">
        <v>849</v>
      </c>
      <c r="H462" s="651" t="s">
        <v>21</v>
      </c>
      <c r="I462" s="651" t="s">
        <v>19</v>
      </c>
      <c r="J462" s="664">
        <v>7034</v>
      </c>
      <c r="K462" s="665">
        <v>39.03</v>
      </c>
      <c r="L462" s="655">
        <f t="shared" si="51"/>
        <v>180.22034332564692</v>
      </c>
      <c r="M462" s="666">
        <v>60</v>
      </c>
      <c r="N462" s="667">
        <f t="shared" si="52"/>
        <v>117.23333333333333</v>
      </c>
      <c r="O462" s="668">
        <f t="shared" ca="1" si="53"/>
        <v>142</v>
      </c>
      <c r="P462" s="655">
        <f t="shared" ca="1" si="54"/>
        <v>-9613.133333333335</v>
      </c>
      <c r="Q462" s="667">
        <f t="shared" ca="1" si="55"/>
        <v>1</v>
      </c>
      <c r="R462" s="669" t="s">
        <v>850</v>
      </c>
    </row>
    <row r="463" spans="2:18" ht="39.950000000000003" customHeight="1" x14ac:dyDescent="0.25">
      <c r="B463" s="661">
        <v>41033</v>
      </c>
      <c r="C463" s="662" t="s">
        <v>2351</v>
      </c>
      <c r="D463" s="669" t="s">
        <v>855</v>
      </c>
      <c r="E463" s="651" t="s">
        <v>856</v>
      </c>
      <c r="F463" s="669" t="s">
        <v>857</v>
      </c>
      <c r="G463" s="675" t="s">
        <v>858</v>
      </c>
      <c r="H463" s="651" t="s">
        <v>23</v>
      </c>
      <c r="I463" s="651" t="s">
        <v>24</v>
      </c>
      <c r="J463" s="664">
        <v>2635</v>
      </c>
      <c r="K463" s="665">
        <v>39.03</v>
      </c>
      <c r="L463" s="655">
        <f t="shared" si="51"/>
        <v>67.512170125544458</v>
      </c>
      <c r="M463" s="666">
        <v>60</v>
      </c>
      <c r="N463" s="667">
        <f t="shared" si="52"/>
        <v>43.916666666666664</v>
      </c>
      <c r="O463" s="668">
        <f t="shared" ca="1" si="53"/>
        <v>142</v>
      </c>
      <c r="P463" s="655">
        <f t="shared" ca="1" si="54"/>
        <v>-3601.1666666666661</v>
      </c>
      <c r="Q463" s="667">
        <f t="shared" ca="1" si="55"/>
        <v>1</v>
      </c>
      <c r="R463" s="669" t="s">
        <v>859</v>
      </c>
    </row>
    <row r="464" spans="2:18" ht="71.25" customHeight="1" x14ac:dyDescent="0.25">
      <c r="B464" s="661">
        <v>41033</v>
      </c>
      <c r="C464" s="662" t="s">
        <v>2351</v>
      </c>
      <c r="D464" s="669" t="s">
        <v>855</v>
      </c>
      <c r="E464" s="651" t="s">
        <v>860</v>
      </c>
      <c r="F464" s="669" t="s">
        <v>857</v>
      </c>
      <c r="G464" s="675" t="s">
        <v>858</v>
      </c>
      <c r="H464" s="651" t="s">
        <v>23</v>
      </c>
      <c r="I464" s="651" t="s">
        <v>24</v>
      </c>
      <c r="J464" s="664">
        <v>2635</v>
      </c>
      <c r="K464" s="665">
        <v>39.03</v>
      </c>
      <c r="L464" s="655">
        <f t="shared" si="51"/>
        <v>67.512170125544458</v>
      </c>
      <c r="M464" s="666">
        <v>60</v>
      </c>
      <c r="N464" s="667">
        <f t="shared" si="52"/>
        <v>43.916666666666664</v>
      </c>
      <c r="O464" s="668">
        <f t="shared" ca="1" si="53"/>
        <v>142</v>
      </c>
      <c r="P464" s="655">
        <f t="shared" ca="1" si="54"/>
        <v>-3601.1666666666661</v>
      </c>
      <c r="Q464" s="667">
        <f t="shared" ca="1" si="55"/>
        <v>1</v>
      </c>
      <c r="R464" s="669" t="s">
        <v>859</v>
      </c>
    </row>
    <row r="465" spans="2:18" ht="39.950000000000003" customHeight="1" x14ac:dyDescent="0.25">
      <c r="B465" s="661">
        <v>41059</v>
      </c>
      <c r="C465" s="662" t="s">
        <v>2351</v>
      </c>
      <c r="D465" s="651" t="s">
        <v>861</v>
      </c>
      <c r="E465" s="651" t="s">
        <v>862</v>
      </c>
      <c r="F465" s="669" t="s">
        <v>863</v>
      </c>
      <c r="G465" s="675" t="s">
        <v>864</v>
      </c>
      <c r="H465" s="651" t="s">
        <v>865</v>
      </c>
      <c r="I465" s="651" t="s">
        <v>19</v>
      </c>
      <c r="J465" s="664">
        <v>54107.76</v>
      </c>
      <c r="K465" s="665">
        <v>39.020000000000003</v>
      </c>
      <c r="L465" s="655">
        <f t="shared" si="51"/>
        <v>1386.6673500768836</v>
      </c>
      <c r="M465" s="666">
        <v>60</v>
      </c>
      <c r="N465" s="667">
        <f t="shared" si="52"/>
        <v>901.79600000000005</v>
      </c>
      <c r="O465" s="668">
        <f t="shared" ca="1" si="53"/>
        <v>141</v>
      </c>
      <c r="P465" s="655">
        <f t="shared" ca="1" si="54"/>
        <v>-73045.475999999995</v>
      </c>
      <c r="Q465" s="667">
        <f t="shared" ca="1" si="55"/>
        <v>1</v>
      </c>
      <c r="R465" s="669" t="s">
        <v>866</v>
      </c>
    </row>
    <row r="466" spans="2:18" ht="45" customHeight="1" x14ac:dyDescent="0.25">
      <c r="B466" s="661">
        <v>41059</v>
      </c>
      <c r="C466" s="662" t="s">
        <v>2351</v>
      </c>
      <c r="D466" s="651" t="s">
        <v>867</v>
      </c>
      <c r="E466" s="651" t="s">
        <v>867</v>
      </c>
      <c r="F466" s="669" t="s">
        <v>863</v>
      </c>
      <c r="G466" s="675" t="s">
        <v>868</v>
      </c>
      <c r="H466" s="651" t="s">
        <v>869</v>
      </c>
      <c r="I466" s="651" t="s">
        <v>19</v>
      </c>
      <c r="J466" s="664">
        <v>54107.76</v>
      </c>
      <c r="K466" s="665">
        <v>39.020000000000003</v>
      </c>
      <c r="L466" s="655">
        <f t="shared" si="51"/>
        <v>1386.6673500768836</v>
      </c>
      <c r="M466" s="666">
        <v>60</v>
      </c>
      <c r="N466" s="667">
        <f t="shared" si="52"/>
        <v>901.79600000000005</v>
      </c>
      <c r="O466" s="668">
        <f t="shared" ca="1" si="53"/>
        <v>141</v>
      </c>
      <c r="P466" s="655">
        <f t="shared" ca="1" si="54"/>
        <v>-73045.475999999995</v>
      </c>
      <c r="Q466" s="667">
        <f t="shared" ca="1" si="55"/>
        <v>1</v>
      </c>
      <c r="R466" s="669" t="s">
        <v>866</v>
      </c>
    </row>
    <row r="467" spans="2:18" ht="39.950000000000003" customHeight="1" x14ac:dyDescent="0.25">
      <c r="B467" s="661">
        <v>41059</v>
      </c>
      <c r="C467" s="662" t="s">
        <v>2351</v>
      </c>
      <c r="D467" s="669" t="s">
        <v>870</v>
      </c>
      <c r="E467" s="651" t="s">
        <v>871</v>
      </c>
      <c r="F467" s="669" t="s">
        <v>863</v>
      </c>
      <c r="G467" s="675" t="s">
        <v>872</v>
      </c>
      <c r="H467" s="651" t="s">
        <v>60</v>
      </c>
      <c r="I467" s="651" t="s">
        <v>19</v>
      </c>
      <c r="J467" s="664">
        <v>54107.76</v>
      </c>
      <c r="K467" s="665">
        <v>39.020000000000003</v>
      </c>
      <c r="L467" s="655">
        <f t="shared" si="51"/>
        <v>1386.6673500768836</v>
      </c>
      <c r="M467" s="666">
        <v>60</v>
      </c>
      <c r="N467" s="667">
        <f t="shared" si="52"/>
        <v>901.79600000000005</v>
      </c>
      <c r="O467" s="668">
        <f t="shared" ca="1" si="53"/>
        <v>141</v>
      </c>
      <c r="P467" s="655">
        <f t="shared" ca="1" si="54"/>
        <v>-73045.475999999995</v>
      </c>
      <c r="Q467" s="667">
        <f t="shared" ca="1" si="55"/>
        <v>1</v>
      </c>
      <c r="R467" s="669" t="s">
        <v>866</v>
      </c>
    </row>
    <row r="468" spans="2:18" ht="39.950000000000003" customHeight="1" x14ac:dyDescent="0.25">
      <c r="B468" s="661">
        <v>41059</v>
      </c>
      <c r="C468" s="662" t="s">
        <v>2351</v>
      </c>
      <c r="D468" s="669" t="s">
        <v>870</v>
      </c>
      <c r="E468" s="651" t="s">
        <v>873</v>
      </c>
      <c r="F468" s="669" t="s">
        <v>863</v>
      </c>
      <c r="G468" s="675" t="s">
        <v>874</v>
      </c>
      <c r="H468" s="651" t="s">
        <v>60</v>
      </c>
      <c r="I468" s="651" t="s">
        <v>19</v>
      </c>
      <c r="J468" s="664">
        <v>54107.76</v>
      </c>
      <c r="K468" s="665">
        <v>39.020000000000003</v>
      </c>
      <c r="L468" s="655">
        <f t="shared" si="51"/>
        <v>1386.6673500768836</v>
      </c>
      <c r="M468" s="666">
        <v>60</v>
      </c>
      <c r="N468" s="667">
        <f t="shared" si="52"/>
        <v>901.79600000000005</v>
      </c>
      <c r="O468" s="668">
        <f t="shared" ca="1" si="53"/>
        <v>141</v>
      </c>
      <c r="P468" s="655">
        <f t="shared" ca="1" si="54"/>
        <v>-73045.475999999995</v>
      </c>
      <c r="Q468" s="667">
        <f t="shared" ca="1" si="55"/>
        <v>1</v>
      </c>
      <c r="R468" s="669" t="s">
        <v>866</v>
      </c>
    </row>
    <row r="469" spans="2:18" ht="39.950000000000003" customHeight="1" x14ac:dyDescent="0.25">
      <c r="B469" s="661">
        <v>41059</v>
      </c>
      <c r="C469" s="662" t="s">
        <v>2351</v>
      </c>
      <c r="D469" s="669" t="s">
        <v>870</v>
      </c>
      <c r="E469" s="651" t="s">
        <v>875</v>
      </c>
      <c r="F469" s="669" t="s">
        <v>863</v>
      </c>
      <c r="G469" s="675" t="s">
        <v>876</v>
      </c>
      <c r="H469" s="651" t="s">
        <v>60</v>
      </c>
      <c r="I469" s="651" t="s">
        <v>19</v>
      </c>
      <c r="J469" s="664">
        <v>54107.76</v>
      </c>
      <c r="K469" s="665">
        <v>39.020000000000003</v>
      </c>
      <c r="L469" s="655">
        <f t="shared" si="51"/>
        <v>1386.6673500768836</v>
      </c>
      <c r="M469" s="666">
        <v>60</v>
      </c>
      <c r="N469" s="667">
        <f t="shared" si="52"/>
        <v>901.79600000000005</v>
      </c>
      <c r="O469" s="668">
        <f t="shared" ca="1" si="53"/>
        <v>141</v>
      </c>
      <c r="P469" s="655">
        <f t="shared" ca="1" si="54"/>
        <v>-73045.475999999995</v>
      </c>
      <c r="Q469" s="667">
        <f t="shared" ca="1" si="55"/>
        <v>1</v>
      </c>
      <c r="R469" s="669" t="s">
        <v>866</v>
      </c>
    </row>
    <row r="470" spans="2:18" ht="65.25" customHeight="1" x14ac:dyDescent="0.25">
      <c r="B470" s="661">
        <v>41059</v>
      </c>
      <c r="C470" s="662" t="s">
        <v>2351</v>
      </c>
      <c r="D470" s="669" t="s">
        <v>870</v>
      </c>
      <c r="E470" s="651" t="s">
        <v>877</v>
      </c>
      <c r="F470" s="669" t="s">
        <v>863</v>
      </c>
      <c r="G470" s="675" t="s">
        <v>878</v>
      </c>
      <c r="H470" s="651" t="s">
        <v>60</v>
      </c>
      <c r="I470" s="651" t="s">
        <v>19</v>
      </c>
      <c r="J470" s="664">
        <v>54107.76</v>
      </c>
      <c r="K470" s="665">
        <v>39.020000000000003</v>
      </c>
      <c r="L470" s="655">
        <f t="shared" si="51"/>
        <v>1386.6673500768836</v>
      </c>
      <c r="M470" s="666">
        <v>60</v>
      </c>
      <c r="N470" s="667">
        <f t="shared" si="52"/>
        <v>901.79600000000005</v>
      </c>
      <c r="O470" s="668">
        <f t="shared" ca="1" si="53"/>
        <v>141</v>
      </c>
      <c r="P470" s="655">
        <f t="shared" ca="1" si="54"/>
        <v>-73045.475999999995</v>
      </c>
      <c r="Q470" s="667">
        <f t="shared" ca="1" si="55"/>
        <v>1</v>
      </c>
      <c r="R470" s="669" t="s">
        <v>866</v>
      </c>
    </row>
    <row r="471" spans="2:18" ht="57.75" customHeight="1" x14ac:dyDescent="0.25">
      <c r="B471" s="661">
        <v>41059</v>
      </c>
      <c r="C471" s="662" t="s">
        <v>2351</v>
      </c>
      <c r="D471" s="651" t="s">
        <v>879</v>
      </c>
      <c r="E471" s="651" t="s">
        <v>879</v>
      </c>
      <c r="F471" s="669" t="s">
        <v>863</v>
      </c>
      <c r="G471" s="675" t="s">
        <v>880</v>
      </c>
      <c r="H471" s="651" t="s">
        <v>60</v>
      </c>
      <c r="I471" s="651" t="s">
        <v>19</v>
      </c>
      <c r="J471" s="664">
        <v>54107.76</v>
      </c>
      <c r="K471" s="665">
        <v>39.020000000000003</v>
      </c>
      <c r="L471" s="655">
        <f t="shared" si="51"/>
        <v>1386.6673500768836</v>
      </c>
      <c r="M471" s="666">
        <v>60</v>
      </c>
      <c r="N471" s="667">
        <f t="shared" si="52"/>
        <v>901.79600000000005</v>
      </c>
      <c r="O471" s="668">
        <f t="shared" ca="1" si="53"/>
        <v>141</v>
      </c>
      <c r="P471" s="655">
        <f t="shared" ca="1" si="54"/>
        <v>-73045.475999999995</v>
      </c>
      <c r="Q471" s="667">
        <f t="shared" ca="1" si="55"/>
        <v>1</v>
      </c>
      <c r="R471" s="669" t="s">
        <v>866</v>
      </c>
    </row>
    <row r="472" spans="2:18" ht="57.75" customHeight="1" x14ac:dyDescent="0.25">
      <c r="B472" s="661">
        <v>41059</v>
      </c>
      <c r="C472" s="662" t="s">
        <v>2351</v>
      </c>
      <c r="D472" s="651" t="s">
        <v>881</v>
      </c>
      <c r="E472" s="651" t="s">
        <v>881</v>
      </c>
      <c r="F472" s="669" t="s">
        <v>863</v>
      </c>
      <c r="G472" s="675" t="s">
        <v>882</v>
      </c>
      <c r="H472" s="651" t="s">
        <v>23</v>
      </c>
      <c r="I472" s="651" t="s">
        <v>677</v>
      </c>
      <c r="J472" s="664">
        <v>54107.76</v>
      </c>
      <c r="K472" s="665">
        <v>39.020000000000003</v>
      </c>
      <c r="L472" s="655">
        <f t="shared" si="51"/>
        <v>1386.6673500768836</v>
      </c>
      <c r="M472" s="666">
        <v>60</v>
      </c>
      <c r="N472" s="667">
        <f t="shared" si="52"/>
        <v>901.79600000000005</v>
      </c>
      <c r="O472" s="668">
        <f t="shared" ca="1" si="53"/>
        <v>141</v>
      </c>
      <c r="P472" s="655">
        <f t="shared" ca="1" si="54"/>
        <v>-73045.475999999995</v>
      </c>
      <c r="Q472" s="667">
        <f t="shared" ca="1" si="55"/>
        <v>1</v>
      </c>
      <c r="R472" s="669" t="s">
        <v>866</v>
      </c>
    </row>
    <row r="473" spans="2:18" ht="66.75" customHeight="1" x14ac:dyDescent="0.25">
      <c r="B473" s="661">
        <v>41060</v>
      </c>
      <c r="C473" s="662" t="s">
        <v>2351</v>
      </c>
      <c r="D473" s="669" t="s">
        <v>883</v>
      </c>
      <c r="E473" s="651" t="s">
        <v>884</v>
      </c>
      <c r="F473" s="669" t="s">
        <v>810</v>
      </c>
      <c r="G473" s="675" t="s">
        <v>885</v>
      </c>
      <c r="H473" s="651" t="s">
        <v>886</v>
      </c>
      <c r="I473" s="651" t="s">
        <v>19</v>
      </c>
      <c r="J473" s="674">
        <v>8797.5</v>
      </c>
      <c r="K473" s="665">
        <v>39.020000000000003</v>
      </c>
      <c r="L473" s="655">
        <f t="shared" si="51"/>
        <v>225.46130189646334</v>
      </c>
      <c r="M473" s="666">
        <v>120</v>
      </c>
      <c r="N473" s="667">
        <f t="shared" si="52"/>
        <v>73.3125</v>
      </c>
      <c r="O473" s="668">
        <f t="shared" ca="1" si="53"/>
        <v>141</v>
      </c>
      <c r="P473" s="655">
        <f t="shared" ca="1" si="54"/>
        <v>-1539.5625</v>
      </c>
      <c r="Q473" s="667">
        <f t="shared" ca="1" si="55"/>
        <v>1</v>
      </c>
      <c r="R473" s="669" t="s">
        <v>812</v>
      </c>
    </row>
    <row r="474" spans="2:18" ht="39.950000000000003" customHeight="1" x14ac:dyDescent="0.25">
      <c r="B474" s="661">
        <v>41060</v>
      </c>
      <c r="C474" s="662" t="s">
        <v>2351</v>
      </c>
      <c r="D474" s="669" t="s">
        <v>883</v>
      </c>
      <c r="E474" s="651" t="s">
        <v>887</v>
      </c>
      <c r="F474" s="669" t="s">
        <v>810</v>
      </c>
      <c r="G474" s="675" t="s">
        <v>888</v>
      </c>
      <c r="H474" s="651" t="s">
        <v>886</v>
      </c>
      <c r="I474" s="651" t="s">
        <v>19</v>
      </c>
      <c r="J474" s="674">
        <v>8797.5</v>
      </c>
      <c r="K474" s="665">
        <v>39.020000000000003</v>
      </c>
      <c r="L474" s="655">
        <f t="shared" si="51"/>
        <v>225.46130189646334</v>
      </c>
      <c r="M474" s="666">
        <v>120</v>
      </c>
      <c r="N474" s="667">
        <f t="shared" si="52"/>
        <v>73.3125</v>
      </c>
      <c r="O474" s="668">
        <f t="shared" ca="1" si="53"/>
        <v>141</v>
      </c>
      <c r="P474" s="655">
        <f t="shared" ca="1" si="54"/>
        <v>-1539.5625</v>
      </c>
      <c r="Q474" s="667">
        <f t="shared" ca="1" si="55"/>
        <v>1</v>
      </c>
      <c r="R474" s="669" t="s">
        <v>812</v>
      </c>
    </row>
    <row r="475" spans="2:18" ht="39.950000000000003" customHeight="1" x14ac:dyDescent="0.25">
      <c r="B475" s="661">
        <v>41060</v>
      </c>
      <c r="C475" s="662" t="s">
        <v>2351</v>
      </c>
      <c r="D475" s="669" t="s">
        <v>883</v>
      </c>
      <c r="E475" s="651" t="s">
        <v>889</v>
      </c>
      <c r="F475" s="669" t="s">
        <v>810</v>
      </c>
      <c r="G475" s="675" t="s">
        <v>890</v>
      </c>
      <c r="H475" s="651" t="s">
        <v>886</v>
      </c>
      <c r="I475" s="651" t="s">
        <v>19</v>
      </c>
      <c r="J475" s="674">
        <v>8797.5</v>
      </c>
      <c r="K475" s="665">
        <v>39.020000000000003</v>
      </c>
      <c r="L475" s="655">
        <f t="shared" si="51"/>
        <v>225.46130189646334</v>
      </c>
      <c r="M475" s="666">
        <v>120</v>
      </c>
      <c r="N475" s="667">
        <f t="shared" si="52"/>
        <v>73.3125</v>
      </c>
      <c r="O475" s="668">
        <f t="shared" ca="1" si="53"/>
        <v>141</v>
      </c>
      <c r="P475" s="655">
        <f t="shared" ca="1" si="54"/>
        <v>-1539.5625</v>
      </c>
      <c r="Q475" s="667">
        <f t="shared" ca="1" si="55"/>
        <v>1</v>
      </c>
      <c r="R475" s="669" t="s">
        <v>812</v>
      </c>
    </row>
    <row r="476" spans="2:18" ht="39.950000000000003" customHeight="1" x14ac:dyDescent="0.25">
      <c r="B476" s="661">
        <v>41060</v>
      </c>
      <c r="C476" s="662" t="s">
        <v>2351</v>
      </c>
      <c r="D476" s="669" t="s">
        <v>883</v>
      </c>
      <c r="E476" s="651" t="s">
        <v>891</v>
      </c>
      <c r="F476" s="669" t="s">
        <v>810</v>
      </c>
      <c r="G476" s="675" t="s">
        <v>892</v>
      </c>
      <c r="H476" s="651" t="s">
        <v>886</v>
      </c>
      <c r="I476" s="651" t="s">
        <v>19</v>
      </c>
      <c r="J476" s="674">
        <v>8797.5</v>
      </c>
      <c r="K476" s="665">
        <v>39.020000000000003</v>
      </c>
      <c r="L476" s="655">
        <f t="shared" si="51"/>
        <v>225.46130189646334</v>
      </c>
      <c r="M476" s="666">
        <v>120</v>
      </c>
      <c r="N476" s="667">
        <f t="shared" si="52"/>
        <v>73.3125</v>
      </c>
      <c r="O476" s="668">
        <f t="shared" ca="1" si="53"/>
        <v>141</v>
      </c>
      <c r="P476" s="655">
        <f t="shared" ca="1" si="54"/>
        <v>-1539.5625</v>
      </c>
      <c r="Q476" s="667">
        <f t="shared" ca="1" si="55"/>
        <v>1</v>
      </c>
      <c r="R476" s="669" t="s">
        <v>812</v>
      </c>
    </row>
    <row r="477" spans="2:18" ht="39.950000000000003" customHeight="1" x14ac:dyDescent="0.25">
      <c r="B477" s="661">
        <v>41122</v>
      </c>
      <c r="C477" s="662" t="s">
        <v>2351</v>
      </c>
      <c r="D477" s="669" t="s">
        <v>893</v>
      </c>
      <c r="E477" s="651" t="s">
        <v>894</v>
      </c>
      <c r="F477" s="663" t="s">
        <v>895</v>
      </c>
      <c r="G477" s="651" t="s">
        <v>28</v>
      </c>
      <c r="H477" s="651" t="s">
        <v>886</v>
      </c>
      <c r="I477" s="651" t="s">
        <v>19</v>
      </c>
      <c r="J477" s="664">
        <v>3961.21</v>
      </c>
      <c r="K477" s="665">
        <v>39.1</v>
      </c>
      <c r="L477" s="655">
        <f t="shared" si="51"/>
        <v>101.30971867007672</v>
      </c>
      <c r="M477" s="666">
        <v>60</v>
      </c>
      <c r="N477" s="667">
        <f t="shared" si="52"/>
        <v>66.020166666666668</v>
      </c>
      <c r="O477" s="668">
        <f t="shared" ca="1" si="53"/>
        <v>139</v>
      </c>
      <c r="P477" s="655">
        <f t="shared" ca="1" si="54"/>
        <v>-5215.5931666666665</v>
      </c>
      <c r="Q477" s="667">
        <f t="shared" ca="1" si="55"/>
        <v>1</v>
      </c>
      <c r="R477" s="669" t="s">
        <v>896</v>
      </c>
    </row>
    <row r="478" spans="2:18" ht="39.950000000000003" customHeight="1" x14ac:dyDescent="0.25">
      <c r="B478" s="661">
        <v>41319</v>
      </c>
      <c r="C478" s="662" t="s">
        <v>2351</v>
      </c>
      <c r="D478" s="669" t="s">
        <v>897</v>
      </c>
      <c r="E478" s="651" t="s">
        <v>898</v>
      </c>
      <c r="F478" s="663" t="s">
        <v>899</v>
      </c>
      <c r="G478" s="651" t="s">
        <v>900</v>
      </c>
      <c r="H478" s="651" t="s">
        <v>23</v>
      </c>
      <c r="I478" s="651" t="s">
        <v>738</v>
      </c>
      <c r="J478" s="680">
        <v>34000</v>
      </c>
      <c r="K478" s="680">
        <v>40.799999999999997</v>
      </c>
      <c r="L478" s="655">
        <f t="shared" si="51"/>
        <v>833.33333333333337</v>
      </c>
      <c r="M478" s="681">
        <v>120</v>
      </c>
      <c r="N478" s="667">
        <f t="shared" si="52"/>
        <v>283.33333333333331</v>
      </c>
      <c r="O478" s="668">
        <f t="shared" ca="1" si="53"/>
        <v>133</v>
      </c>
      <c r="P478" s="655">
        <f t="shared" ca="1" si="54"/>
        <v>-3683.3333333333285</v>
      </c>
      <c r="Q478" s="667">
        <f t="shared" ca="1" si="55"/>
        <v>1</v>
      </c>
      <c r="R478" s="669" t="s">
        <v>901</v>
      </c>
    </row>
    <row r="479" spans="2:18" ht="39.950000000000003" customHeight="1" x14ac:dyDescent="0.25">
      <c r="B479" s="661">
        <v>41355</v>
      </c>
      <c r="C479" s="662" t="s">
        <v>2351</v>
      </c>
      <c r="D479" s="669" t="s">
        <v>902</v>
      </c>
      <c r="E479" s="651" t="s">
        <v>903</v>
      </c>
      <c r="F479" s="663" t="s">
        <v>904</v>
      </c>
      <c r="G479" s="651" t="s">
        <v>28</v>
      </c>
      <c r="H479" s="651" t="s">
        <v>23</v>
      </c>
      <c r="I479" s="651" t="s">
        <v>738</v>
      </c>
      <c r="J479" s="680">
        <v>90500</v>
      </c>
      <c r="K479" s="680">
        <v>41.05</v>
      </c>
      <c r="L479" s="655">
        <f t="shared" si="51"/>
        <v>2204.6285018270405</v>
      </c>
      <c r="M479" s="681">
        <v>60</v>
      </c>
      <c r="N479" s="667">
        <f t="shared" si="52"/>
        <v>1508.3333333333333</v>
      </c>
      <c r="O479" s="668">
        <f t="shared" ca="1" si="53"/>
        <v>132</v>
      </c>
      <c r="P479" s="655">
        <f t="shared" ca="1" si="54"/>
        <v>-108600</v>
      </c>
      <c r="Q479" s="667">
        <f t="shared" ca="1" si="55"/>
        <v>1</v>
      </c>
      <c r="R479" s="669" t="s">
        <v>905</v>
      </c>
    </row>
    <row r="480" spans="2:18" ht="39.950000000000003" customHeight="1" x14ac:dyDescent="0.25">
      <c r="B480" s="661">
        <v>41355</v>
      </c>
      <c r="C480" s="662" t="s">
        <v>2351</v>
      </c>
      <c r="D480" s="669" t="s">
        <v>902</v>
      </c>
      <c r="E480" s="651" t="s">
        <v>906</v>
      </c>
      <c r="F480" s="663" t="s">
        <v>907</v>
      </c>
      <c r="G480" s="651" t="s">
        <v>28</v>
      </c>
      <c r="H480" s="651" t="s">
        <v>23</v>
      </c>
      <c r="I480" s="651" t="s">
        <v>738</v>
      </c>
      <c r="J480" s="680">
        <v>7616</v>
      </c>
      <c r="K480" s="680">
        <v>41.05</v>
      </c>
      <c r="L480" s="655">
        <f t="shared" si="51"/>
        <v>185.52984165651645</v>
      </c>
      <c r="M480" s="681">
        <v>60</v>
      </c>
      <c r="N480" s="667">
        <f t="shared" si="52"/>
        <v>126.93333333333334</v>
      </c>
      <c r="O480" s="668">
        <f t="shared" ca="1" si="53"/>
        <v>132</v>
      </c>
      <c r="P480" s="655">
        <f t="shared" ca="1" si="54"/>
        <v>-9139.2000000000007</v>
      </c>
      <c r="Q480" s="667">
        <f t="shared" ca="1" si="55"/>
        <v>1</v>
      </c>
      <c r="R480" s="669" t="s">
        <v>905</v>
      </c>
    </row>
    <row r="481" spans="2:18" ht="39.950000000000003" customHeight="1" x14ac:dyDescent="0.25">
      <c r="B481" s="661">
        <v>41355</v>
      </c>
      <c r="C481" s="662" t="s">
        <v>2351</v>
      </c>
      <c r="D481" s="669" t="s">
        <v>902</v>
      </c>
      <c r="E481" s="651" t="s">
        <v>908</v>
      </c>
      <c r="F481" s="663" t="s">
        <v>907</v>
      </c>
      <c r="G481" s="651" t="s">
        <v>28</v>
      </c>
      <c r="H481" s="651" t="s">
        <v>23</v>
      </c>
      <c r="I481" s="651" t="s">
        <v>738</v>
      </c>
      <c r="J481" s="680">
        <v>7616</v>
      </c>
      <c r="K481" s="680">
        <v>41.05</v>
      </c>
      <c r="L481" s="655">
        <f t="shared" si="51"/>
        <v>185.52984165651645</v>
      </c>
      <c r="M481" s="681">
        <v>60</v>
      </c>
      <c r="N481" s="667">
        <f t="shared" si="52"/>
        <v>126.93333333333334</v>
      </c>
      <c r="O481" s="668">
        <f t="shared" ca="1" si="53"/>
        <v>132</v>
      </c>
      <c r="P481" s="655">
        <f t="shared" ca="1" si="54"/>
        <v>-9139.2000000000007</v>
      </c>
      <c r="Q481" s="667">
        <f t="shared" ca="1" si="55"/>
        <v>1</v>
      </c>
      <c r="R481" s="669" t="s">
        <v>905</v>
      </c>
    </row>
    <row r="482" spans="2:18" ht="39.950000000000003" customHeight="1" x14ac:dyDescent="0.25">
      <c r="B482" s="661">
        <v>41355</v>
      </c>
      <c r="C482" s="662" t="s">
        <v>2351</v>
      </c>
      <c r="D482" s="669" t="s">
        <v>902</v>
      </c>
      <c r="E482" s="651" t="s">
        <v>909</v>
      </c>
      <c r="F482" s="663" t="s">
        <v>910</v>
      </c>
      <c r="G482" s="651" t="s">
        <v>28</v>
      </c>
      <c r="H482" s="651" t="s">
        <v>23</v>
      </c>
      <c r="I482" s="651" t="s">
        <v>738</v>
      </c>
      <c r="J482" s="680">
        <v>4611</v>
      </c>
      <c r="K482" s="680">
        <v>41.05</v>
      </c>
      <c r="L482" s="655">
        <f t="shared" ref="L482:L544" si="56">+J482/K482</f>
        <v>112.326431181486</v>
      </c>
      <c r="M482" s="681">
        <v>60</v>
      </c>
      <c r="N482" s="667">
        <f t="shared" si="52"/>
        <v>76.849999999999994</v>
      </c>
      <c r="O482" s="668">
        <f t="shared" ref="O482:O544" ca="1" si="57">IF(B482&lt;&gt;0,(ROUND((NOW()-B482)/30,0)),0)</f>
        <v>132</v>
      </c>
      <c r="P482" s="655">
        <f t="shared" ca="1" si="54"/>
        <v>-5533.1999999999989</v>
      </c>
      <c r="Q482" s="667">
        <f t="shared" ca="1" si="55"/>
        <v>1</v>
      </c>
      <c r="R482" s="669" t="s">
        <v>905</v>
      </c>
    </row>
    <row r="483" spans="2:18" ht="39.950000000000003" customHeight="1" x14ac:dyDescent="0.25">
      <c r="B483" s="661">
        <v>41355</v>
      </c>
      <c r="C483" s="662" t="s">
        <v>2351</v>
      </c>
      <c r="D483" s="669" t="s">
        <v>902</v>
      </c>
      <c r="E483" s="651" t="s">
        <v>911</v>
      </c>
      <c r="F483" s="663" t="s">
        <v>910</v>
      </c>
      <c r="G483" s="651" t="s">
        <v>28</v>
      </c>
      <c r="H483" s="651" t="s">
        <v>23</v>
      </c>
      <c r="I483" s="651" t="s">
        <v>738</v>
      </c>
      <c r="J483" s="680">
        <v>4611</v>
      </c>
      <c r="K483" s="680">
        <v>41.05</v>
      </c>
      <c r="L483" s="655">
        <f t="shared" si="56"/>
        <v>112.326431181486</v>
      </c>
      <c r="M483" s="681">
        <v>60</v>
      </c>
      <c r="N483" s="667">
        <f t="shared" ref="N483:N545" si="58">IF(AND(J483&lt;&gt;0,M483&lt;&gt;0),J483/M483,0)</f>
        <v>76.849999999999994</v>
      </c>
      <c r="O483" s="668">
        <f t="shared" ca="1" si="57"/>
        <v>132</v>
      </c>
      <c r="P483" s="655">
        <f t="shared" ref="P483:P545" ca="1" si="59">IF(OR(J483=0,M483=0,O483=0),0,J483-(N483*O483))</f>
        <v>-5533.1999999999989</v>
      </c>
      <c r="Q483" s="667">
        <f t="shared" ca="1" si="55"/>
        <v>1</v>
      </c>
      <c r="R483" s="669" t="s">
        <v>905</v>
      </c>
    </row>
    <row r="484" spans="2:18" ht="39.950000000000003" customHeight="1" x14ac:dyDescent="0.25">
      <c r="B484" s="661">
        <v>41355</v>
      </c>
      <c r="C484" s="662" t="s">
        <v>2351</v>
      </c>
      <c r="D484" s="669" t="s">
        <v>912</v>
      </c>
      <c r="E484" s="651" t="s">
        <v>913</v>
      </c>
      <c r="F484" s="663" t="s">
        <v>914</v>
      </c>
      <c r="G484" s="651" t="s">
        <v>28</v>
      </c>
      <c r="H484" s="651" t="s">
        <v>23</v>
      </c>
      <c r="I484" s="651" t="s">
        <v>738</v>
      </c>
      <c r="J484" s="680">
        <v>3526</v>
      </c>
      <c r="K484" s="680">
        <v>41.05</v>
      </c>
      <c r="L484" s="655">
        <f t="shared" si="56"/>
        <v>85.895249695493305</v>
      </c>
      <c r="M484" s="681">
        <v>60</v>
      </c>
      <c r="N484" s="667">
        <f t="shared" si="58"/>
        <v>58.766666666666666</v>
      </c>
      <c r="O484" s="668">
        <f t="shared" ca="1" si="57"/>
        <v>132</v>
      </c>
      <c r="P484" s="655">
        <f t="shared" ca="1" si="59"/>
        <v>-4231.2</v>
      </c>
      <c r="Q484" s="667">
        <f t="shared" ca="1" si="55"/>
        <v>1</v>
      </c>
      <c r="R484" s="669" t="s">
        <v>915</v>
      </c>
    </row>
    <row r="485" spans="2:18" ht="39.950000000000003" customHeight="1" x14ac:dyDescent="0.25">
      <c r="B485" s="661">
        <v>41355</v>
      </c>
      <c r="C485" s="662" t="s">
        <v>2351</v>
      </c>
      <c r="D485" s="669" t="s">
        <v>912</v>
      </c>
      <c r="E485" s="651" t="s">
        <v>916</v>
      </c>
      <c r="F485" s="663" t="s">
        <v>914</v>
      </c>
      <c r="G485" s="651" t="s">
        <v>28</v>
      </c>
      <c r="H485" s="651" t="s">
        <v>23</v>
      </c>
      <c r="I485" s="651" t="s">
        <v>738</v>
      </c>
      <c r="J485" s="680">
        <v>3526</v>
      </c>
      <c r="K485" s="680">
        <v>41.05</v>
      </c>
      <c r="L485" s="655">
        <f t="shared" si="56"/>
        <v>85.895249695493305</v>
      </c>
      <c r="M485" s="681">
        <v>60</v>
      </c>
      <c r="N485" s="667">
        <f t="shared" si="58"/>
        <v>58.766666666666666</v>
      </c>
      <c r="O485" s="668">
        <f t="shared" ca="1" si="57"/>
        <v>132</v>
      </c>
      <c r="P485" s="655">
        <f t="shared" ca="1" si="59"/>
        <v>-4231.2</v>
      </c>
      <c r="Q485" s="667">
        <f t="shared" ca="1" si="55"/>
        <v>1</v>
      </c>
      <c r="R485" s="669" t="s">
        <v>915</v>
      </c>
    </row>
    <row r="486" spans="2:18" ht="39.950000000000003" customHeight="1" x14ac:dyDescent="0.25">
      <c r="B486" s="661">
        <v>41418</v>
      </c>
      <c r="C486" s="662" t="s">
        <v>2351</v>
      </c>
      <c r="D486" s="669" t="s">
        <v>917</v>
      </c>
      <c r="E486" s="651" t="s">
        <v>918</v>
      </c>
      <c r="F486" s="669" t="s">
        <v>919</v>
      </c>
      <c r="G486" s="675" t="s">
        <v>920</v>
      </c>
      <c r="H486" s="651" t="s">
        <v>34</v>
      </c>
      <c r="I486" s="651" t="s">
        <v>19</v>
      </c>
      <c r="J486" s="680">
        <v>9735</v>
      </c>
      <c r="K486" s="680">
        <v>41.13</v>
      </c>
      <c r="L486" s="655">
        <f t="shared" si="56"/>
        <v>236.68854850474105</v>
      </c>
      <c r="M486" s="681">
        <v>60</v>
      </c>
      <c r="N486" s="667">
        <f t="shared" si="58"/>
        <v>162.25</v>
      </c>
      <c r="O486" s="668">
        <f t="shared" ca="1" si="57"/>
        <v>129</v>
      </c>
      <c r="P486" s="655">
        <f t="shared" ca="1" si="59"/>
        <v>-11195.25</v>
      </c>
      <c r="Q486" s="667">
        <f t="shared" ca="1" si="55"/>
        <v>1</v>
      </c>
      <c r="R486" s="669" t="s">
        <v>896</v>
      </c>
    </row>
    <row r="487" spans="2:18" ht="39.950000000000003" customHeight="1" x14ac:dyDescent="0.25">
      <c r="B487" s="661">
        <v>41425</v>
      </c>
      <c r="C487" s="662" t="s">
        <v>2351</v>
      </c>
      <c r="D487" s="669" t="s">
        <v>921</v>
      </c>
      <c r="E487" s="651" t="s">
        <v>922</v>
      </c>
      <c r="F487" s="669" t="s">
        <v>923</v>
      </c>
      <c r="G487" s="675" t="s">
        <v>924</v>
      </c>
      <c r="H487" s="651" t="s">
        <v>925</v>
      </c>
      <c r="I487" s="651" t="s">
        <v>19</v>
      </c>
      <c r="J487" s="682">
        <v>57907.62</v>
      </c>
      <c r="K487" s="680">
        <v>41.2</v>
      </c>
      <c r="L487" s="655">
        <f t="shared" si="56"/>
        <v>1405.5247572815533</v>
      </c>
      <c r="M487" s="681">
        <v>60</v>
      </c>
      <c r="N487" s="667">
        <f t="shared" si="58"/>
        <v>965.12700000000007</v>
      </c>
      <c r="O487" s="668">
        <f t="shared" ca="1" si="57"/>
        <v>129</v>
      </c>
      <c r="P487" s="655">
        <f t="shared" ca="1" si="59"/>
        <v>-66593.763000000006</v>
      </c>
      <c r="Q487" s="667">
        <f t="shared" ca="1" si="55"/>
        <v>1</v>
      </c>
      <c r="R487" s="669" t="s">
        <v>926</v>
      </c>
    </row>
    <row r="488" spans="2:18" ht="39.950000000000003" customHeight="1" x14ac:dyDescent="0.25">
      <c r="B488" s="661">
        <v>41425</v>
      </c>
      <c r="C488" s="662" t="s">
        <v>2351</v>
      </c>
      <c r="D488" s="669" t="s">
        <v>927</v>
      </c>
      <c r="E488" s="651" t="s">
        <v>928</v>
      </c>
      <c r="F488" s="669" t="s">
        <v>929</v>
      </c>
      <c r="G488" s="675" t="s">
        <v>930</v>
      </c>
      <c r="H488" s="651" t="s">
        <v>4444</v>
      </c>
      <c r="I488" s="651" t="s">
        <v>19</v>
      </c>
      <c r="J488" s="682">
        <v>47097.79</v>
      </c>
      <c r="K488" s="680">
        <v>41.178800000000003</v>
      </c>
      <c r="L488" s="655">
        <f t="shared" si="56"/>
        <v>1143.7387684925252</v>
      </c>
      <c r="M488" s="681">
        <v>60</v>
      </c>
      <c r="N488" s="667">
        <f t="shared" si="58"/>
        <v>784.96316666666667</v>
      </c>
      <c r="O488" s="668">
        <f t="shared" ca="1" si="57"/>
        <v>129</v>
      </c>
      <c r="P488" s="655">
        <f t="shared" ca="1" si="59"/>
        <v>-54162.458500000001</v>
      </c>
      <c r="Q488" s="667">
        <f t="shared" ca="1" si="55"/>
        <v>1</v>
      </c>
      <c r="R488" s="669" t="s">
        <v>926</v>
      </c>
    </row>
    <row r="489" spans="2:18" ht="39.950000000000003" customHeight="1" x14ac:dyDescent="0.25">
      <c r="B489" s="661">
        <v>41425</v>
      </c>
      <c r="C489" s="662" t="s">
        <v>2351</v>
      </c>
      <c r="D489" s="669" t="s">
        <v>927</v>
      </c>
      <c r="E489" s="651" t="s">
        <v>931</v>
      </c>
      <c r="F489" s="669" t="s">
        <v>929</v>
      </c>
      <c r="G489" s="675" t="s">
        <v>932</v>
      </c>
      <c r="H489" s="651" t="s">
        <v>933</v>
      </c>
      <c r="I489" s="651" t="s">
        <v>19</v>
      </c>
      <c r="J489" s="682">
        <v>47097.79</v>
      </c>
      <c r="K489" s="680">
        <v>41.178800000000003</v>
      </c>
      <c r="L489" s="655">
        <f t="shared" si="56"/>
        <v>1143.7387684925252</v>
      </c>
      <c r="M489" s="681">
        <v>60</v>
      </c>
      <c r="N489" s="667">
        <f t="shared" si="58"/>
        <v>784.96316666666667</v>
      </c>
      <c r="O489" s="668">
        <f t="shared" ca="1" si="57"/>
        <v>129</v>
      </c>
      <c r="P489" s="655">
        <f t="shared" ca="1" si="59"/>
        <v>-54162.458500000001</v>
      </c>
      <c r="Q489" s="667">
        <f t="shared" ca="1" si="55"/>
        <v>1</v>
      </c>
      <c r="R489" s="669" t="s">
        <v>926</v>
      </c>
    </row>
    <row r="490" spans="2:18" ht="39.950000000000003" customHeight="1" x14ac:dyDescent="0.25">
      <c r="B490" s="661">
        <v>41425</v>
      </c>
      <c r="C490" s="662" t="s">
        <v>2351</v>
      </c>
      <c r="D490" s="669" t="s">
        <v>927</v>
      </c>
      <c r="E490" s="651" t="s">
        <v>934</v>
      </c>
      <c r="F490" s="669" t="s">
        <v>929</v>
      </c>
      <c r="G490" s="675" t="s">
        <v>935</v>
      </c>
      <c r="H490" s="651" t="s">
        <v>936</v>
      </c>
      <c r="I490" s="651" t="s">
        <v>19</v>
      </c>
      <c r="J490" s="682">
        <v>47097.79</v>
      </c>
      <c r="K490" s="680">
        <v>41.178800000000003</v>
      </c>
      <c r="L490" s="655">
        <f t="shared" si="56"/>
        <v>1143.7387684925252</v>
      </c>
      <c r="M490" s="681">
        <v>60</v>
      </c>
      <c r="N490" s="667">
        <f t="shared" si="58"/>
        <v>784.96316666666667</v>
      </c>
      <c r="O490" s="668">
        <f t="shared" ca="1" si="57"/>
        <v>129</v>
      </c>
      <c r="P490" s="655">
        <f t="shared" ca="1" si="59"/>
        <v>-54162.458500000001</v>
      </c>
      <c r="Q490" s="667">
        <f t="shared" ca="1" si="55"/>
        <v>1</v>
      </c>
      <c r="R490" s="669" t="s">
        <v>926</v>
      </c>
    </row>
    <row r="491" spans="2:18" ht="39.950000000000003" customHeight="1" x14ac:dyDescent="0.25">
      <c r="B491" s="661">
        <v>41425</v>
      </c>
      <c r="C491" s="662" t="s">
        <v>2351</v>
      </c>
      <c r="D491" s="669" t="s">
        <v>927</v>
      </c>
      <c r="E491" s="651" t="s">
        <v>937</v>
      </c>
      <c r="F491" s="669" t="s">
        <v>929</v>
      </c>
      <c r="G491" s="675" t="s">
        <v>938</v>
      </c>
      <c r="H491" s="651" t="s">
        <v>939</v>
      </c>
      <c r="I491" s="651" t="s">
        <v>19</v>
      </c>
      <c r="J491" s="682">
        <v>47097.79</v>
      </c>
      <c r="K491" s="680">
        <v>41.178800000000003</v>
      </c>
      <c r="L491" s="655">
        <f t="shared" si="56"/>
        <v>1143.7387684925252</v>
      </c>
      <c r="M491" s="681">
        <v>60</v>
      </c>
      <c r="N491" s="667">
        <f t="shared" si="58"/>
        <v>784.96316666666667</v>
      </c>
      <c r="O491" s="668">
        <f t="shared" ca="1" si="57"/>
        <v>129</v>
      </c>
      <c r="P491" s="655">
        <f t="shared" ca="1" si="59"/>
        <v>-54162.458500000001</v>
      </c>
      <c r="Q491" s="667">
        <f t="shared" ca="1" si="55"/>
        <v>1</v>
      </c>
      <c r="R491" s="669" t="s">
        <v>926</v>
      </c>
    </row>
    <row r="492" spans="2:18" ht="39.950000000000003" customHeight="1" x14ac:dyDescent="0.25">
      <c r="B492" s="661">
        <v>41425</v>
      </c>
      <c r="C492" s="662" t="s">
        <v>2351</v>
      </c>
      <c r="D492" s="669" t="s">
        <v>927</v>
      </c>
      <c r="E492" s="651" t="s">
        <v>940</v>
      </c>
      <c r="F492" s="669" t="s">
        <v>929</v>
      </c>
      <c r="G492" s="675" t="s">
        <v>941</v>
      </c>
      <c r="H492" s="651" t="s">
        <v>942</v>
      </c>
      <c r="I492" s="651" t="s">
        <v>19</v>
      </c>
      <c r="J492" s="682">
        <v>47097.79</v>
      </c>
      <c r="K492" s="680">
        <v>41.178800000000003</v>
      </c>
      <c r="L492" s="655">
        <f t="shared" si="56"/>
        <v>1143.7387684925252</v>
      </c>
      <c r="M492" s="681">
        <v>60</v>
      </c>
      <c r="N492" s="667">
        <f t="shared" si="58"/>
        <v>784.96316666666667</v>
      </c>
      <c r="O492" s="668">
        <f t="shared" ca="1" si="57"/>
        <v>129</v>
      </c>
      <c r="P492" s="655">
        <f t="shared" ca="1" si="59"/>
        <v>-54162.458500000001</v>
      </c>
      <c r="Q492" s="667">
        <f t="shared" ca="1" si="55"/>
        <v>1</v>
      </c>
      <c r="R492" s="669" t="s">
        <v>926</v>
      </c>
    </row>
    <row r="493" spans="2:18" ht="39.950000000000003" customHeight="1" x14ac:dyDescent="0.25">
      <c r="B493" s="661">
        <v>41425</v>
      </c>
      <c r="C493" s="662" t="s">
        <v>2351</v>
      </c>
      <c r="D493" s="669" t="s">
        <v>927</v>
      </c>
      <c r="E493" s="651" t="s">
        <v>943</v>
      </c>
      <c r="F493" s="669" t="s">
        <v>929</v>
      </c>
      <c r="G493" s="675" t="s">
        <v>944</v>
      </c>
      <c r="H493" s="651" t="s">
        <v>945</v>
      </c>
      <c r="I493" s="651" t="s">
        <v>19</v>
      </c>
      <c r="J493" s="682">
        <v>47097.79</v>
      </c>
      <c r="K493" s="680">
        <v>41.178800000000003</v>
      </c>
      <c r="L493" s="655">
        <f t="shared" si="56"/>
        <v>1143.7387684925252</v>
      </c>
      <c r="M493" s="681">
        <v>60</v>
      </c>
      <c r="N493" s="667">
        <f t="shared" si="58"/>
        <v>784.96316666666667</v>
      </c>
      <c r="O493" s="668">
        <f t="shared" ca="1" si="57"/>
        <v>129</v>
      </c>
      <c r="P493" s="655">
        <f t="shared" ca="1" si="59"/>
        <v>-54162.458500000001</v>
      </c>
      <c r="Q493" s="667">
        <f t="shared" ca="1" si="55"/>
        <v>1</v>
      </c>
      <c r="R493" s="669" t="s">
        <v>926</v>
      </c>
    </row>
    <row r="494" spans="2:18" ht="39.950000000000003" customHeight="1" x14ac:dyDescent="0.25">
      <c r="B494" s="661">
        <v>41425</v>
      </c>
      <c r="C494" s="662" t="s">
        <v>2351</v>
      </c>
      <c r="D494" s="669" t="s">
        <v>927</v>
      </c>
      <c r="E494" s="651" t="s">
        <v>946</v>
      </c>
      <c r="F494" s="669" t="s">
        <v>929</v>
      </c>
      <c r="G494" s="675" t="s">
        <v>947</v>
      </c>
      <c r="H494" s="651" t="s">
        <v>948</v>
      </c>
      <c r="I494" s="651" t="s">
        <v>19</v>
      </c>
      <c r="J494" s="682">
        <v>47097.79</v>
      </c>
      <c r="K494" s="680">
        <v>41.178800000000003</v>
      </c>
      <c r="L494" s="655">
        <f t="shared" si="56"/>
        <v>1143.7387684925252</v>
      </c>
      <c r="M494" s="681">
        <v>60</v>
      </c>
      <c r="N494" s="667">
        <f t="shared" si="58"/>
        <v>784.96316666666667</v>
      </c>
      <c r="O494" s="668">
        <f t="shared" ca="1" si="57"/>
        <v>129</v>
      </c>
      <c r="P494" s="655">
        <f t="shared" ca="1" si="59"/>
        <v>-54162.458500000001</v>
      </c>
      <c r="Q494" s="667">
        <f t="shared" ca="1" si="55"/>
        <v>1</v>
      </c>
      <c r="R494" s="669" t="s">
        <v>926</v>
      </c>
    </row>
    <row r="495" spans="2:18" ht="39.950000000000003" customHeight="1" x14ac:dyDescent="0.25">
      <c r="B495" s="661">
        <v>41425</v>
      </c>
      <c r="C495" s="662" t="s">
        <v>2351</v>
      </c>
      <c r="D495" s="669" t="s">
        <v>927</v>
      </c>
      <c r="E495" s="651" t="s">
        <v>949</v>
      </c>
      <c r="F495" s="669" t="s">
        <v>929</v>
      </c>
      <c r="G495" s="675" t="s">
        <v>950</v>
      </c>
      <c r="H495" s="651" t="s">
        <v>951</v>
      </c>
      <c r="I495" s="651" t="s">
        <v>19</v>
      </c>
      <c r="J495" s="682">
        <v>47097.79</v>
      </c>
      <c r="K495" s="680">
        <v>41.178800000000003</v>
      </c>
      <c r="L495" s="655">
        <f t="shared" si="56"/>
        <v>1143.7387684925252</v>
      </c>
      <c r="M495" s="681">
        <v>60</v>
      </c>
      <c r="N495" s="667">
        <f t="shared" si="58"/>
        <v>784.96316666666667</v>
      </c>
      <c r="O495" s="668">
        <f t="shared" ca="1" si="57"/>
        <v>129</v>
      </c>
      <c r="P495" s="655">
        <f t="shared" ca="1" si="59"/>
        <v>-54162.458500000001</v>
      </c>
      <c r="Q495" s="667">
        <f t="shared" ca="1" si="55"/>
        <v>1</v>
      </c>
      <c r="R495" s="669" t="s">
        <v>926</v>
      </c>
    </row>
    <row r="496" spans="2:18" ht="39.950000000000003" customHeight="1" x14ac:dyDescent="0.25">
      <c r="B496" s="661">
        <v>41425</v>
      </c>
      <c r="C496" s="662" t="s">
        <v>2351</v>
      </c>
      <c r="D496" s="669" t="s">
        <v>927</v>
      </c>
      <c r="E496" s="651" t="s">
        <v>952</v>
      </c>
      <c r="F496" s="669" t="s">
        <v>929</v>
      </c>
      <c r="G496" s="675" t="s">
        <v>953</v>
      </c>
      <c r="H496" s="651" t="s">
        <v>954</v>
      </c>
      <c r="I496" s="651" t="s">
        <v>19</v>
      </c>
      <c r="J496" s="682">
        <v>47097.79</v>
      </c>
      <c r="K496" s="680">
        <v>41.178800000000003</v>
      </c>
      <c r="L496" s="655">
        <f t="shared" si="56"/>
        <v>1143.7387684925252</v>
      </c>
      <c r="M496" s="681">
        <v>60</v>
      </c>
      <c r="N496" s="667">
        <f t="shared" si="58"/>
        <v>784.96316666666667</v>
      </c>
      <c r="O496" s="668">
        <f t="shared" ca="1" si="57"/>
        <v>129</v>
      </c>
      <c r="P496" s="655">
        <f t="shared" ca="1" si="59"/>
        <v>-54162.458500000001</v>
      </c>
      <c r="Q496" s="667">
        <f t="shared" ca="1" si="55"/>
        <v>1</v>
      </c>
      <c r="R496" s="669" t="s">
        <v>926</v>
      </c>
    </row>
    <row r="497" spans="2:18" ht="39.950000000000003" customHeight="1" x14ac:dyDescent="0.25">
      <c r="B497" s="661">
        <v>41425</v>
      </c>
      <c r="C497" s="662" t="s">
        <v>2351</v>
      </c>
      <c r="D497" s="669" t="s">
        <v>927</v>
      </c>
      <c r="E497" s="651" t="s">
        <v>955</v>
      </c>
      <c r="F497" s="669" t="s">
        <v>929</v>
      </c>
      <c r="G497" s="675" t="s">
        <v>956</v>
      </c>
      <c r="H497" s="651" t="s">
        <v>957</v>
      </c>
      <c r="I497" s="651" t="s">
        <v>19</v>
      </c>
      <c r="J497" s="682">
        <v>47097.79</v>
      </c>
      <c r="K497" s="680">
        <v>41.178800000000003</v>
      </c>
      <c r="L497" s="655">
        <f t="shared" si="56"/>
        <v>1143.7387684925252</v>
      </c>
      <c r="M497" s="681">
        <v>60</v>
      </c>
      <c r="N497" s="667">
        <f t="shared" si="58"/>
        <v>784.96316666666667</v>
      </c>
      <c r="O497" s="668">
        <f t="shared" ca="1" si="57"/>
        <v>129</v>
      </c>
      <c r="P497" s="655">
        <f t="shared" ca="1" si="59"/>
        <v>-54162.458500000001</v>
      </c>
      <c r="Q497" s="667">
        <f t="shared" ca="1" si="55"/>
        <v>1</v>
      </c>
      <c r="R497" s="669" t="s">
        <v>926</v>
      </c>
    </row>
    <row r="498" spans="2:18" ht="39.950000000000003" customHeight="1" x14ac:dyDescent="0.25">
      <c r="B498" s="661">
        <v>41425</v>
      </c>
      <c r="C498" s="662" t="s">
        <v>2351</v>
      </c>
      <c r="D498" s="669" t="s">
        <v>927</v>
      </c>
      <c r="E498" s="651" t="s">
        <v>958</v>
      </c>
      <c r="F498" s="669" t="s">
        <v>929</v>
      </c>
      <c r="G498" s="675" t="s">
        <v>959</v>
      </c>
      <c r="H498" s="651" t="s">
        <v>960</v>
      </c>
      <c r="I498" s="651" t="s">
        <v>19</v>
      </c>
      <c r="J498" s="682">
        <v>47097.79</v>
      </c>
      <c r="K498" s="680">
        <v>41.178800000000003</v>
      </c>
      <c r="L498" s="655">
        <f t="shared" si="56"/>
        <v>1143.7387684925252</v>
      </c>
      <c r="M498" s="681">
        <v>60</v>
      </c>
      <c r="N498" s="667">
        <f t="shared" si="58"/>
        <v>784.96316666666667</v>
      </c>
      <c r="O498" s="668">
        <f t="shared" ca="1" si="57"/>
        <v>129</v>
      </c>
      <c r="P498" s="655">
        <f t="shared" ca="1" si="59"/>
        <v>-54162.458500000001</v>
      </c>
      <c r="Q498" s="667">
        <f t="shared" ca="1" si="55"/>
        <v>1</v>
      </c>
      <c r="R498" s="669" t="s">
        <v>926</v>
      </c>
    </row>
    <row r="499" spans="2:18" ht="39.950000000000003" customHeight="1" x14ac:dyDescent="0.25">
      <c r="B499" s="661">
        <v>41425</v>
      </c>
      <c r="C499" s="662" t="s">
        <v>2351</v>
      </c>
      <c r="D499" s="669" t="s">
        <v>927</v>
      </c>
      <c r="E499" s="651" t="s">
        <v>961</v>
      </c>
      <c r="F499" s="669" t="s">
        <v>929</v>
      </c>
      <c r="G499" s="675" t="s">
        <v>962</v>
      </c>
      <c r="H499" s="651" t="s">
        <v>963</v>
      </c>
      <c r="I499" s="651" t="s">
        <v>19</v>
      </c>
      <c r="J499" s="682">
        <v>47097.79</v>
      </c>
      <c r="K499" s="680">
        <v>41.178800000000003</v>
      </c>
      <c r="L499" s="655">
        <f t="shared" si="56"/>
        <v>1143.7387684925252</v>
      </c>
      <c r="M499" s="681">
        <v>60</v>
      </c>
      <c r="N499" s="667">
        <f t="shared" si="58"/>
        <v>784.96316666666667</v>
      </c>
      <c r="O499" s="668">
        <f t="shared" ca="1" si="57"/>
        <v>129</v>
      </c>
      <c r="P499" s="655">
        <f t="shared" ca="1" si="59"/>
        <v>-54162.458500000001</v>
      </c>
      <c r="Q499" s="667">
        <f t="shared" ca="1" si="55"/>
        <v>1</v>
      </c>
      <c r="R499" s="669" t="s">
        <v>926</v>
      </c>
    </row>
    <row r="500" spans="2:18" ht="39.950000000000003" customHeight="1" x14ac:dyDescent="0.25">
      <c r="B500" s="661">
        <v>41425</v>
      </c>
      <c r="C500" s="662" t="s">
        <v>2351</v>
      </c>
      <c r="D500" s="669" t="s">
        <v>927</v>
      </c>
      <c r="E500" s="651" t="s">
        <v>964</v>
      </c>
      <c r="F500" s="669" t="s">
        <v>929</v>
      </c>
      <c r="G500" s="675" t="s">
        <v>965</v>
      </c>
      <c r="H500" s="651" t="s">
        <v>966</v>
      </c>
      <c r="I500" s="651" t="s">
        <v>19</v>
      </c>
      <c r="J500" s="682">
        <v>47097.79</v>
      </c>
      <c r="K500" s="680">
        <v>41.178800000000003</v>
      </c>
      <c r="L500" s="655">
        <f t="shared" si="56"/>
        <v>1143.7387684925252</v>
      </c>
      <c r="M500" s="681">
        <v>60</v>
      </c>
      <c r="N500" s="667">
        <f t="shared" si="58"/>
        <v>784.96316666666667</v>
      </c>
      <c r="O500" s="668">
        <f t="shared" ca="1" si="57"/>
        <v>129</v>
      </c>
      <c r="P500" s="655">
        <f t="shared" ca="1" si="59"/>
        <v>-54162.458500000001</v>
      </c>
      <c r="Q500" s="667">
        <f t="shared" ca="1" si="55"/>
        <v>1</v>
      </c>
      <c r="R500" s="669" t="s">
        <v>926</v>
      </c>
    </row>
    <row r="501" spans="2:18" ht="39.950000000000003" customHeight="1" x14ac:dyDescent="0.25">
      <c r="B501" s="661">
        <v>41425</v>
      </c>
      <c r="C501" s="662" t="s">
        <v>2351</v>
      </c>
      <c r="D501" s="669" t="s">
        <v>927</v>
      </c>
      <c r="E501" s="651" t="s">
        <v>967</v>
      </c>
      <c r="F501" s="669" t="s">
        <v>929</v>
      </c>
      <c r="G501" s="675" t="s">
        <v>968</v>
      </c>
      <c r="H501" s="651" t="s">
        <v>969</v>
      </c>
      <c r="I501" s="651" t="s">
        <v>19</v>
      </c>
      <c r="J501" s="682">
        <v>47097.79</v>
      </c>
      <c r="K501" s="680">
        <v>41.178800000000003</v>
      </c>
      <c r="L501" s="655">
        <f t="shared" si="56"/>
        <v>1143.7387684925252</v>
      </c>
      <c r="M501" s="681">
        <v>60</v>
      </c>
      <c r="N501" s="667">
        <f t="shared" si="58"/>
        <v>784.96316666666667</v>
      </c>
      <c r="O501" s="668">
        <f t="shared" ca="1" si="57"/>
        <v>129</v>
      </c>
      <c r="P501" s="655">
        <f t="shared" ca="1" si="59"/>
        <v>-54162.458500000001</v>
      </c>
      <c r="Q501" s="667">
        <f t="shared" ca="1" si="55"/>
        <v>1</v>
      </c>
      <c r="R501" s="669" t="s">
        <v>926</v>
      </c>
    </row>
    <row r="502" spans="2:18" ht="39.950000000000003" customHeight="1" x14ac:dyDescent="0.25">
      <c r="B502" s="661">
        <v>41425</v>
      </c>
      <c r="C502" s="662" t="s">
        <v>2351</v>
      </c>
      <c r="D502" s="669" t="s">
        <v>927</v>
      </c>
      <c r="E502" s="651" t="s">
        <v>970</v>
      </c>
      <c r="F502" s="669" t="s">
        <v>929</v>
      </c>
      <c r="G502" s="675" t="s">
        <v>971</v>
      </c>
      <c r="H502" s="651" t="s">
        <v>972</v>
      </c>
      <c r="I502" s="651" t="s">
        <v>19</v>
      </c>
      <c r="J502" s="682">
        <v>47097.79</v>
      </c>
      <c r="K502" s="680">
        <v>41.178800000000003</v>
      </c>
      <c r="L502" s="655">
        <f t="shared" si="56"/>
        <v>1143.7387684925252</v>
      </c>
      <c r="M502" s="681">
        <v>60</v>
      </c>
      <c r="N502" s="667">
        <f t="shared" si="58"/>
        <v>784.96316666666667</v>
      </c>
      <c r="O502" s="668">
        <f t="shared" ca="1" si="57"/>
        <v>129</v>
      </c>
      <c r="P502" s="655">
        <f t="shared" ca="1" si="59"/>
        <v>-54162.458500000001</v>
      </c>
      <c r="Q502" s="667">
        <f t="shared" ca="1" si="55"/>
        <v>1</v>
      </c>
      <c r="R502" s="669" t="s">
        <v>926</v>
      </c>
    </row>
    <row r="503" spans="2:18" ht="39.950000000000003" customHeight="1" x14ac:dyDescent="0.25">
      <c r="B503" s="661">
        <v>41425</v>
      </c>
      <c r="C503" s="662" t="s">
        <v>2351</v>
      </c>
      <c r="D503" s="669" t="s">
        <v>927</v>
      </c>
      <c r="E503" s="651" t="s">
        <v>973</v>
      </c>
      <c r="F503" s="669" t="s">
        <v>929</v>
      </c>
      <c r="G503" s="675" t="s">
        <v>974</v>
      </c>
      <c r="H503" s="651" t="s">
        <v>975</v>
      </c>
      <c r="I503" s="651" t="s">
        <v>19</v>
      </c>
      <c r="J503" s="682">
        <v>47097.79</v>
      </c>
      <c r="K503" s="680">
        <v>41.178800000000003</v>
      </c>
      <c r="L503" s="655">
        <f t="shared" si="56"/>
        <v>1143.7387684925252</v>
      </c>
      <c r="M503" s="681">
        <v>60</v>
      </c>
      <c r="N503" s="667">
        <f t="shared" si="58"/>
        <v>784.96316666666667</v>
      </c>
      <c r="O503" s="668">
        <f t="shared" ca="1" si="57"/>
        <v>129</v>
      </c>
      <c r="P503" s="655">
        <f t="shared" ca="1" si="59"/>
        <v>-54162.458500000001</v>
      </c>
      <c r="Q503" s="667">
        <f t="shared" ca="1" si="55"/>
        <v>1</v>
      </c>
      <c r="R503" s="669" t="s">
        <v>926</v>
      </c>
    </row>
    <row r="504" spans="2:18" ht="39.950000000000003" customHeight="1" x14ac:dyDescent="0.25">
      <c r="B504" s="661">
        <v>41425</v>
      </c>
      <c r="C504" s="662" t="s">
        <v>2351</v>
      </c>
      <c r="D504" s="669" t="s">
        <v>927</v>
      </c>
      <c r="E504" s="651" t="s">
        <v>976</v>
      </c>
      <c r="F504" s="669" t="s">
        <v>929</v>
      </c>
      <c r="G504" s="675" t="s">
        <v>977</v>
      </c>
      <c r="H504" s="651" t="s">
        <v>978</v>
      </c>
      <c r="I504" s="651" t="s">
        <v>19</v>
      </c>
      <c r="J504" s="682">
        <v>47097.79</v>
      </c>
      <c r="K504" s="680">
        <v>41.178800000000003</v>
      </c>
      <c r="L504" s="655">
        <f t="shared" si="56"/>
        <v>1143.7387684925252</v>
      </c>
      <c r="M504" s="681">
        <v>60</v>
      </c>
      <c r="N504" s="667">
        <f t="shared" si="58"/>
        <v>784.96316666666667</v>
      </c>
      <c r="O504" s="668">
        <f t="shared" ca="1" si="57"/>
        <v>129</v>
      </c>
      <c r="P504" s="655">
        <f t="shared" ca="1" si="59"/>
        <v>-54162.458500000001</v>
      </c>
      <c r="Q504" s="667">
        <f t="shared" ca="1" si="55"/>
        <v>1</v>
      </c>
      <c r="R504" s="669" t="s">
        <v>926</v>
      </c>
    </row>
    <row r="505" spans="2:18" ht="39.950000000000003" customHeight="1" x14ac:dyDescent="0.25">
      <c r="B505" s="661">
        <v>41425</v>
      </c>
      <c r="C505" s="662" t="s">
        <v>2351</v>
      </c>
      <c r="D505" s="669" t="s">
        <v>927</v>
      </c>
      <c r="E505" s="651" t="s">
        <v>979</v>
      </c>
      <c r="F505" s="669" t="s">
        <v>929</v>
      </c>
      <c r="G505" s="675" t="s">
        <v>980</v>
      </c>
      <c r="H505" s="651" t="s">
        <v>981</v>
      </c>
      <c r="I505" s="651" t="s">
        <v>19</v>
      </c>
      <c r="J505" s="682">
        <v>47097.79</v>
      </c>
      <c r="K505" s="680">
        <v>41.178800000000003</v>
      </c>
      <c r="L505" s="655">
        <f t="shared" si="56"/>
        <v>1143.7387684925252</v>
      </c>
      <c r="M505" s="681">
        <v>60</v>
      </c>
      <c r="N505" s="667">
        <f t="shared" si="58"/>
        <v>784.96316666666667</v>
      </c>
      <c r="O505" s="668">
        <f t="shared" ca="1" si="57"/>
        <v>129</v>
      </c>
      <c r="P505" s="655">
        <f t="shared" ca="1" si="59"/>
        <v>-54162.458500000001</v>
      </c>
      <c r="Q505" s="667">
        <f t="shared" ca="1" si="55"/>
        <v>1</v>
      </c>
      <c r="R505" s="669" t="s">
        <v>926</v>
      </c>
    </row>
    <row r="506" spans="2:18" ht="39.950000000000003" customHeight="1" x14ac:dyDescent="0.25">
      <c r="B506" s="661">
        <v>41425</v>
      </c>
      <c r="C506" s="662" t="s">
        <v>2351</v>
      </c>
      <c r="D506" s="669" t="s">
        <v>927</v>
      </c>
      <c r="E506" s="651" t="s">
        <v>982</v>
      </c>
      <c r="F506" s="669" t="s">
        <v>929</v>
      </c>
      <c r="G506" s="675" t="s">
        <v>983</v>
      </c>
      <c r="H506" s="651" t="s">
        <v>984</v>
      </c>
      <c r="I506" s="651" t="s">
        <v>19</v>
      </c>
      <c r="J506" s="682">
        <v>47097.79</v>
      </c>
      <c r="K506" s="680">
        <v>41.178800000000003</v>
      </c>
      <c r="L506" s="655">
        <f t="shared" si="56"/>
        <v>1143.7387684925252</v>
      </c>
      <c r="M506" s="681">
        <v>60</v>
      </c>
      <c r="N506" s="667">
        <f t="shared" si="58"/>
        <v>784.96316666666667</v>
      </c>
      <c r="O506" s="668">
        <f t="shared" ca="1" si="57"/>
        <v>129</v>
      </c>
      <c r="P506" s="655">
        <f t="shared" ca="1" si="59"/>
        <v>-54162.458500000001</v>
      </c>
      <c r="Q506" s="667">
        <f t="shared" ca="1" si="55"/>
        <v>1</v>
      </c>
      <c r="R506" s="669" t="s">
        <v>926</v>
      </c>
    </row>
    <row r="507" spans="2:18" ht="39.950000000000003" customHeight="1" x14ac:dyDescent="0.25">
      <c r="B507" s="661">
        <v>41425</v>
      </c>
      <c r="C507" s="662" t="s">
        <v>2351</v>
      </c>
      <c r="D507" s="669" t="s">
        <v>927</v>
      </c>
      <c r="E507" s="651" t="s">
        <v>985</v>
      </c>
      <c r="F507" s="669" t="s">
        <v>929</v>
      </c>
      <c r="G507" s="675" t="s">
        <v>986</v>
      </c>
      <c r="H507" s="651" t="s">
        <v>987</v>
      </c>
      <c r="I507" s="651" t="s">
        <v>19</v>
      </c>
      <c r="J507" s="682">
        <v>47097.79</v>
      </c>
      <c r="K507" s="680">
        <v>41.178800000000003</v>
      </c>
      <c r="L507" s="655">
        <f t="shared" si="56"/>
        <v>1143.7387684925252</v>
      </c>
      <c r="M507" s="681">
        <v>60</v>
      </c>
      <c r="N507" s="667">
        <f t="shared" si="58"/>
        <v>784.96316666666667</v>
      </c>
      <c r="O507" s="668">
        <f t="shared" ca="1" si="57"/>
        <v>129</v>
      </c>
      <c r="P507" s="655">
        <f t="shared" ca="1" si="59"/>
        <v>-54162.458500000001</v>
      </c>
      <c r="Q507" s="667">
        <f t="shared" ca="1" si="55"/>
        <v>1</v>
      </c>
      <c r="R507" s="669" t="s">
        <v>926</v>
      </c>
    </row>
    <row r="508" spans="2:18" ht="39.950000000000003" customHeight="1" x14ac:dyDescent="0.25">
      <c r="B508" s="661">
        <v>41425</v>
      </c>
      <c r="C508" s="662" t="s">
        <v>2351</v>
      </c>
      <c r="D508" s="669" t="s">
        <v>927</v>
      </c>
      <c r="E508" s="651" t="s">
        <v>988</v>
      </c>
      <c r="F508" s="669" t="s">
        <v>929</v>
      </c>
      <c r="G508" s="675" t="s">
        <v>989</v>
      </c>
      <c r="H508" s="651" t="s">
        <v>990</v>
      </c>
      <c r="I508" s="651" t="s">
        <v>19</v>
      </c>
      <c r="J508" s="682">
        <v>47097.79</v>
      </c>
      <c r="K508" s="680">
        <v>41.178800000000003</v>
      </c>
      <c r="L508" s="655">
        <f t="shared" si="56"/>
        <v>1143.7387684925252</v>
      </c>
      <c r="M508" s="681">
        <v>60</v>
      </c>
      <c r="N508" s="667">
        <f t="shared" si="58"/>
        <v>784.96316666666667</v>
      </c>
      <c r="O508" s="668">
        <f t="shared" ca="1" si="57"/>
        <v>129</v>
      </c>
      <c r="P508" s="655">
        <f t="shared" ca="1" si="59"/>
        <v>-54162.458500000001</v>
      </c>
      <c r="Q508" s="667">
        <f t="shared" ca="1" si="55"/>
        <v>1</v>
      </c>
      <c r="R508" s="669" t="s">
        <v>926</v>
      </c>
    </row>
    <row r="509" spans="2:18" ht="39.950000000000003" customHeight="1" x14ac:dyDescent="0.25">
      <c r="B509" s="661">
        <v>41425</v>
      </c>
      <c r="C509" s="662" t="s">
        <v>2351</v>
      </c>
      <c r="D509" s="669" t="s">
        <v>927</v>
      </c>
      <c r="E509" s="651" t="s">
        <v>991</v>
      </c>
      <c r="F509" s="669" t="s">
        <v>923</v>
      </c>
      <c r="G509" s="675" t="s">
        <v>992</v>
      </c>
      <c r="H509" s="651" t="s">
        <v>993</v>
      </c>
      <c r="I509" s="651" t="s">
        <v>19</v>
      </c>
      <c r="J509" s="682">
        <v>57907.62</v>
      </c>
      <c r="K509" s="680">
        <v>41.178800000000003</v>
      </c>
      <c r="L509" s="655">
        <f t="shared" si="56"/>
        <v>1406.2483608070172</v>
      </c>
      <c r="M509" s="681">
        <v>60</v>
      </c>
      <c r="N509" s="667">
        <f t="shared" si="58"/>
        <v>965.12700000000007</v>
      </c>
      <c r="O509" s="668">
        <f t="shared" ca="1" si="57"/>
        <v>129</v>
      </c>
      <c r="P509" s="655">
        <f t="shared" ca="1" si="59"/>
        <v>-66593.763000000006</v>
      </c>
      <c r="Q509" s="667">
        <f t="shared" ca="1" si="55"/>
        <v>1</v>
      </c>
      <c r="R509" s="669" t="s">
        <v>926</v>
      </c>
    </row>
    <row r="510" spans="2:18" ht="39.950000000000003" customHeight="1" x14ac:dyDescent="0.25">
      <c r="B510" s="661">
        <v>41425</v>
      </c>
      <c r="C510" s="662" t="s">
        <v>2351</v>
      </c>
      <c r="D510" s="669" t="s">
        <v>927</v>
      </c>
      <c r="E510" s="651" t="s">
        <v>994</v>
      </c>
      <c r="F510" s="669" t="s">
        <v>929</v>
      </c>
      <c r="G510" s="675" t="s">
        <v>995</v>
      </c>
      <c r="H510" s="651" t="s">
        <v>996</v>
      </c>
      <c r="I510" s="651" t="s">
        <v>19</v>
      </c>
      <c r="J510" s="682">
        <v>47097.79</v>
      </c>
      <c r="K510" s="680">
        <v>41.178800000000003</v>
      </c>
      <c r="L510" s="655">
        <f t="shared" si="56"/>
        <v>1143.7387684925252</v>
      </c>
      <c r="M510" s="681">
        <v>60</v>
      </c>
      <c r="N510" s="667">
        <f t="shared" si="58"/>
        <v>784.96316666666667</v>
      </c>
      <c r="O510" s="668">
        <f t="shared" ca="1" si="57"/>
        <v>129</v>
      </c>
      <c r="P510" s="655">
        <f t="shared" ca="1" si="59"/>
        <v>-54162.458500000001</v>
      </c>
      <c r="Q510" s="667">
        <f t="shared" ca="1" si="55"/>
        <v>1</v>
      </c>
      <c r="R510" s="669" t="s">
        <v>926</v>
      </c>
    </row>
    <row r="511" spans="2:18" ht="39.950000000000003" customHeight="1" x14ac:dyDescent="0.25">
      <c r="B511" s="661">
        <v>41425</v>
      </c>
      <c r="C511" s="662" t="s">
        <v>2351</v>
      </c>
      <c r="D511" s="669" t="s">
        <v>927</v>
      </c>
      <c r="E511" s="651" t="s">
        <v>997</v>
      </c>
      <c r="F511" s="669" t="s">
        <v>929</v>
      </c>
      <c r="G511" s="675" t="s">
        <v>998</v>
      </c>
      <c r="H511" s="651" t="s">
        <v>999</v>
      </c>
      <c r="I511" s="651" t="s">
        <v>19</v>
      </c>
      <c r="J511" s="682">
        <v>47097.79</v>
      </c>
      <c r="K511" s="680">
        <v>41.178800000000003</v>
      </c>
      <c r="L511" s="655">
        <f t="shared" si="56"/>
        <v>1143.7387684925252</v>
      </c>
      <c r="M511" s="681">
        <v>60</v>
      </c>
      <c r="N511" s="667">
        <f t="shared" si="58"/>
        <v>784.96316666666667</v>
      </c>
      <c r="O511" s="668">
        <f t="shared" ca="1" si="57"/>
        <v>129</v>
      </c>
      <c r="P511" s="655">
        <f t="shared" ca="1" si="59"/>
        <v>-54162.458500000001</v>
      </c>
      <c r="Q511" s="667">
        <f t="shared" ca="1" si="55"/>
        <v>1</v>
      </c>
      <c r="R511" s="669" t="s">
        <v>926</v>
      </c>
    </row>
    <row r="512" spans="2:18" ht="39.950000000000003" customHeight="1" x14ac:dyDescent="0.25">
      <c r="B512" s="661">
        <v>41425</v>
      </c>
      <c r="C512" s="662" t="s">
        <v>2351</v>
      </c>
      <c r="D512" s="669" t="s">
        <v>927</v>
      </c>
      <c r="E512" s="651" t="s">
        <v>1000</v>
      </c>
      <c r="F512" s="669" t="s">
        <v>923</v>
      </c>
      <c r="G512" s="675" t="s">
        <v>1001</v>
      </c>
      <c r="H512" s="651" t="s">
        <v>1002</v>
      </c>
      <c r="I512" s="651" t="s">
        <v>19</v>
      </c>
      <c r="J512" s="682">
        <v>57907.62</v>
      </c>
      <c r="K512" s="680">
        <v>41.178800000000003</v>
      </c>
      <c r="L512" s="655">
        <f t="shared" si="56"/>
        <v>1406.2483608070172</v>
      </c>
      <c r="M512" s="681">
        <v>60</v>
      </c>
      <c r="N512" s="667">
        <f t="shared" si="58"/>
        <v>965.12700000000007</v>
      </c>
      <c r="O512" s="668">
        <f t="shared" ca="1" si="57"/>
        <v>129</v>
      </c>
      <c r="P512" s="655">
        <f t="shared" ca="1" si="59"/>
        <v>-66593.763000000006</v>
      </c>
      <c r="Q512" s="667">
        <f t="shared" ca="1" si="55"/>
        <v>1</v>
      </c>
      <c r="R512" s="669" t="s">
        <v>926</v>
      </c>
    </row>
    <row r="513" spans="2:18" ht="39.950000000000003" customHeight="1" x14ac:dyDescent="0.25">
      <c r="B513" s="661">
        <v>41425</v>
      </c>
      <c r="C513" s="662" t="s">
        <v>2351</v>
      </c>
      <c r="D513" s="669" t="s">
        <v>927</v>
      </c>
      <c r="E513" s="651" t="s">
        <v>1003</v>
      </c>
      <c r="F513" s="669" t="s">
        <v>929</v>
      </c>
      <c r="G513" s="675" t="s">
        <v>1004</v>
      </c>
      <c r="H513" s="651" t="s">
        <v>1005</v>
      </c>
      <c r="I513" s="651" t="s">
        <v>19</v>
      </c>
      <c r="J513" s="682">
        <v>47097.79</v>
      </c>
      <c r="K513" s="680">
        <v>41.178800000000003</v>
      </c>
      <c r="L513" s="655">
        <f t="shared" si="56"/>
        <v>1143.7387684925252</v>
      </c>
      <c r="M513" s="681">
        <v>60</v>
      </c>
      <c r="N513" s="667">
        <f t="shared" si="58"/>
        <v>784.96316666666667</v>
      </c>
      <c r="O513" s="668">
        <f t="shared" ca="1" si="57"/>
        <v>129</v>
      </c>
      <c r="P513" s="655">
        <f t="shared" ca="1" si="59"/>
        <v>-54162.458500000001</v>
      </c>
      <c r="Q513" s="667">
        <f t="shared" ca="1" si="55"/>
        <v>1</v>
      </c>
      <c r="R513" s="669" t="s">
        <v>926</v>
      </c>
    </row>
    <row r="514" spans="2:18" ht="39.950000000000003" customHeight="1" x14ac:dyDescent="0.25">
      <c r="B514" s="661">
        <v>41425</v>
      </c>
      <c r="C514" s="662" t="s">
        <v>2351</v>
      </c>
      <c r="D514" s="669" t="s">
        <v>927</v>
      </c>
      <c r="E514" s="651" t="s">
        <v>1006</v>
      </c>
      <c r="F514" s="669" t="s">
        <v>929</v>
      </c>
      <c r="G514" s="675" t="s">
        <v>1007</v>
      </c>
      <c r="H514" s="651" t="s">
        <v>1008</v>
      </c>
      <c r="I514" s="651" t="s">
        <v>19</v>
      </c>
      <c r="J514" s="682">
        <v>47097.79</v>
      </c>
      <c r="K514" s="680">
        <v>41.178800000000003</v>
      </c>
      <c r="L514" s="655">
        <f t="shared" si="56"/>
        <v>1143.7387684925252</v>
      </c>
      <c r="M514" s="681">
        <v>60</v>
      </c>
      <c r="N514" s="667">
        <f t="shared" si="58"/>
        <v>784.96316666666667</v>
      </c>
      <c r="O514" s="668">
        <f t="shared" ca="1" si="57"/>
        <v>129</v>
      </c>
      <c r="P514" s="655">
        <f t="shared" ca="1" si="59"/>
        <v>-54162.458500000001</v>
      </c>
      <c r="Q514" s="667">
        <f t="shared" ca="1" si="55"/>
        <v>1</v>
      </c>
      <c r="R514" s="669" t="s">
        <v>926</v>
      </c>
    </row>
    <row r="515" spans="2:18" ht="39.950000000000003" customHeight="1" x14ac:dyDescent="0.25">
      <c r="B515" s="661">
        <v>41425</v>
      </c>
      <c r="C515" s="662" t="s">
        <v>2351</v>
      </c>
      <c r="D515" s="669" t="s">
        <v>927</v>
      </c>
      <c r="E515" s="651" t="s">
        <v>1009</v>
      </c>
      <c r="F515" s="669" t="s">
        <v>929</v>
      </c>
      <c r="G515" s="675" t="s">
        <v>1010</v>
      </c>
      <c r="H515" s="651" t="s">
        <v>1011</v>
      </c>
      <c r="I515" s="651" t="s">
        <v>19</v>
      </c>
      <c r="J515" s="682">
        <v>47097.79</v>
      </c>
      <c r="K515" s="680">
        <v>41.178800000000003</v>
      </c>
      <c r="L515" s="655">
        <f t="shared" si="56"/>
        <v>1143.7387684925252</v>
      </c>
      <c r="M515" s="681">
        <v>60</v>
      </c>
      <c r="N515" s="667">
        <f t="shared" si="58"/>
        <v>784.96316666666667</v>
      </c>
      <c r="O515" s="668">
        <f t="shared" ca="1" si="57"/>
        <v>129</v>
      </c>
      <c r="P515" s="655">
        <f t="shared" ca="1" si="59"/>
        <v>-54162.458500000001</v>
      </c>
      <c r="Q515" s="667">
        <f t="shared" ca="1" si="55"/>
        <v>1</v>
      </c>
      <c r="R515" s="669" t="s">
        <v>926</v>
      </c>
    </row>
    <row r="516" spans="2:18" ht="39.950000000000003" customHeight="1" x14ac:dyDescent="0.25">
      <c r="B516" s="661">
        <v>41425</v>
      </c>
      <c r="C516" s="662" t="s">
        <v>2351</v>
      </c>
      <c r="D516" s="669" t="s">
        <v>927</v>
      </c>
      <c r="E516" s="651" t="s">
        <v>1012</v>
      </c>
      <c r="F516" s="669" t="s">
        <v>929</v>
      </c>
      <c r="G516" s="675" t="s">
        <v>1013</v>
      </c>
      <c r="H516" s="651" t="s">
        <v>1014</v>
      </c>
      <c r="I516" s="651" t="s">
        <v>19</v>
      </c>
      <c r="J516" s="682">
        <v>47097.79</v>
      </c>
      <c r="K516" s="680">
        <v>41.178800000000003</v>
      </c>
      <c r="L516" s="655">
        <f t="shared" si="56"/>
        <v>1143.7387684925252</v>
      </c>
      <c r="M516" s="681">
        <v>60</v>
      </c>
      <c r="N516" s="667">
        <f t="shared" si="58"/>
        <v>784.96316666666667</v>
      </c>
      <c r="O516" s="668">
        <f t="shared" ca="1" si="57"/>
        <v>129</v>
      </c>
      <c r="P516" s="655">
        <f t="shared" ca="1" si="59"/>
        <v>-54162.458500000001</v>
      </c>
      <c r="Q516" s="667">
        <f t="shared" ca="1" si="55"/>
        <v>1</v>
      </c>
      <c r="R516" s="669" t="s">
        <v>926</v>
      </c>
    </row>
    <row r="517" spans="2:18" ht="39.950000000000003" customHeight="1" x14ac:dyDescent="0.25">
      <c r="B517" s="661">
        <v>41425</v>
      </c>
      <c r="C517" s="662" t="s">
        <v>2351</v>
      </c>
      <c r="D517" s="669" t="s">
        <v>927</v>
      </c>
      <c r="E517" s="651" t="s">
        <v>1015</v>
      </c>
      <c r="F517" s="669" t="s">
        <v>929</v>
      </c>
      <c r="G517" s="675" t="s">
        <v>1016</v>
      </c>
      <c r="H517" s="651" t="s">
        <v>1017</v>
      </c>
      <c r="I517" s="651" t="s">
        <v>19</v>
      </c>
      <c r="J517" s="682">
        <v>47097.79</v>
      </c>
      <c r="K517" s="680">
        <v>41.178800000000003</v>
      </c>
      <c r="L517" s="655">
        <f t="shared" si="56"/>
        <v>1143.7387684925252</v>
      </c>
      <c r="M517" s="681">
        <v>60</v>
      </c>
      <c r="N517" s="667">
        <f t="shared" si="58"/>
        <v>784.96316666666667</v>
      </c>
      <c r="O517" s="668">
        <f t="shared" ca="1" si="57"/>
        <v>129</v>
      </c>
      <c r="P517" s="655">
        <f t="shared" ca="1" si="59"/>
        <v>-54162.458500000001</v>
      </c>
      <c r="Q517" s="667">
        <f t="shared" ca="1" si="55"/>
        <v>1</v>
      </c>
      <c r="R517" s="669" t="s">
        <v>926</v>
      </c>
    </row>
    <row r="518" spans="2:18" ht="39.950000000000003" customHeight="1" x14ac:dyDescent="0.25">
      <c r="B518" s="661">
        <v>41425</v>
      </c>
      <c r="C518" s="662" t="s">
        <v>2351</v>
      </c>
      <c r="D518" s="669" t="s">
        <v>927</v>
      </c>
      <c r="E518" s="651" t="s">
        <v>1018</v>
      </c>
      <c r="F518" s="669" t="s">
        <v>929</v>
      </c>
      <c r="G518" s="675" t="s">
        <v>1019</v>
      </c>
      <c r="H518" s="651" t="s">
        <v>1020</v>
      </c>
      <c r="I518" s="651" t="s">
        <v>19</v>
      </c>
      <c r="J518" s="682">
        <v>47097.79</v>
      </c>
      <c r="K518" s="680">
        <v>41.178800000000003</v>
      </c>
      <c r="L518" s="655">
        <f t="shared" si="56"/>
        <v>1143.7387684925252</v>
      </c>
      <c r="M518" s="681">
        <v>60</v>
      </c>
      <c r="N518" s="667">
        <f t="shared" si="58"/>
        <v>784.96316666666667</v>
      </c>
      <c r="O518" s="668">
        <f t="shared" ca="1" si="57"/>
        <v>129</v>
      </c>
      <c r="P518" s="655">
        <f t="shared" ca="1" si="59"/>
        <v>-54162.458500000001</v>
      </c>
      <c r="Q518" s="667">
        <f t="shared" ca="1" si="55"/>
        <v>1</v>
      </c>
      <c r="R518" s="669" t="s">
        <v>926</v>
      </c>
    </row>
    <row r="519" spans="2:18" ht="39.950000000000003" customHeight="1" x14ac:dyDescent="0.25">
      <c r="B519" s="661">
        <v>41425</v>
      </c>
      <c r="C519" s="662" t="s">
        <v>2351</v>
      </c>
      <c r="D519" s="669" t="s">
        <v>927</v>
      </c>
      <c r="E519" s="651" t="s">
        <v>1021</v>
      </c>
      <c r="F519" s="669" t="s">
        <v>929</v>
      </c>
      <c r="G519" s="675" t="s">
        <v>1022</v>
      </c>
      <c r="H519" s="651" t="s">
        <v>1023</v>
      </c>
      <c r="I519" s="651" t="s">
        <v>19</v>
      </c>
      <c r="J519" s="682">
        <v>47097.79</v>
      </c>
      <c r="K519" s="680">
        <v>41.178800000000003</v>
      </c>
      <c r="L519" s="655">
        <f t="shared" si="56"/>
        <v>1143.7387684925252</v>
      </c>
      <c r="M519" s="681">
        <v>60</v>
      </c>
      <c r="N519" s="667">
        <f t="shared" si="58"/>
        <v>784.96316666666667</v>
      </c>
      <c r="O519" s="668">
        <f t="shared" ca="1" si="57"/>
        <v>129</v>
      </c>
      <c r="P519" s="655">
        <f t="shared" ca="1" si="59"/>
        <v>-54162.458500000001</v>
      </c>
      <c r="Q519" s="667">
        <f t="shared" ca="1" si="55"/>
        <v>1</v>
      </c>
      <c r="R519" s="669" t="s">
        <v>926</v>
      </c>
    </row>
    <row r="520" spans="2:18" ht="39.950000000000003" customHeight="1" x14ac:dyDescent="0.25">
      <c r="B520" s="661">
        <v>41425</v>
      </c>
      <c r="C520" s="662" t="s">
        <v>2351</v>
      </c>
      <c r="D520" s="669" t="s">
        <v>927</v>
      </c>
      <c r="E520" s="651" t="s">
        <v>1024</v>
      </c>
      <c r="F520" s="669" t="s">
        <v>929</v>
      </c>
      <c r="G520" s="675" t="s">
        <v>1025</v>
      </c>
      <c r="H520" s="651" t="s">
        <v>1023</v>
      </c>
      <c r="I520" s="651" t="s">
        <v>19</v>
      </c>
      <c r="J520" s="682">
        <v>47097.79</v>
      </c>
      <c r="K520" s="680">
        <v>41.178800000000003</v>
      </c>
      <c r="L520" s="655">
        <f t="shared" si="56"/>
        <v>1143.7387684925252</v>
      </c>
      <c r="M520" s="681">
        <v>60</v>
      </c>
      <c r="N520" s="667">
        <f t="shared" si="58"/>
        <v>784.96316666666667</v>
      </c>
      <c r="O520" s="668">
        <f t="shared" ca="1" si="57"/>
        <v>129</v>
      </c>
      <c r="P520" s="655">
        <f t="shared" ca="1" si="59"/>
        <v>-54162.458500000001</v>
      </c>
      <c r="Q520" s="667">
        <f t="shared" ref="Q520:Q583" ca="1" si="60">IF(P520&lt;1,1,P520)</f>
        <v>1</v>
      </c>
      <c r="R520" s="669" t="s">
        <v>926</v>
      </c>
    </row>
    <row r="521" spans="2:18" ht="39.950000000000003" customHeight="1" x14ac:dyDescent="0.25">
      <c r="B521" s="661">
        <v>41425</v>
      </c>
      <c r="C521" s="662" t="s">
        <v>2351</v>
      </c>
      <c r="D521" s="669" t="s">
        <v>927</v>
      </c>
      <c r="E521" s="651" t="s">
        <v>1026</v>
      </c>
      <c r="F521" s="669" t="s">
        <v>1027</v>
      </c>
      <c r="G521" s="675" t="s">
        <v>1028</v>
      </c>
      <c r="H521" s="651" t="s">
        <v>1029</v>
      </c>
      <c r="I521" s="651" t="s">
        <v>19</v>
      </c>
      <c r="J521" s="682">
        <v>57907.62</v>
      </c>
      <c r="K521" s="680">
        <v>41.178800000000003</v>
      </c>
      <c r="L521" s="655">
        <f t="shared" si="56"/>
        <v>1406.2483608070172</v>
      </c>
      <c r="M521" s="681">
        <v>60</v>
      </c>
      <c r="N521" s="667">
        <f t="shared" si="58"/>
        <v>965.12700000000007</v>
      </c>
      <c r="O521" s="668">
        <f t="shared" ca="1" si="57"/>
        <v>129</v>
      </c>
      <c r="P521" s="655">
        <f t="shared" ca="1" si="59"/>
        <v>-66593.763000000006</v>
      </c>
      <c r="Q521" s="667">
        <f t="shared" ca="1" si="60"/>
        <v>1</v>
      </c>
      <c r="R521" s="669" t="s">
        <v>926</v>
      </c>
    </row>
    <row r="522" spans="2:18" ht="39.950000000000003" customHeight="1" x14ac:dyDescent="0.25">
      <c r="B522" s="661">
        <v>41425</v>
      </c>
      <c r="C522" s="662" t="s">
        <v>2351</v>
      </c>
      <c r="D522" s="669" t="s">
        <v>927</v>
      </c>
      <c r="E522" s="651" t="s">
        <v>1030</v>
      </c>
      <c r="F522" s="669" t="s">
        <v>929</v>
      </c>
      <c r="G522" s="675" t="s">
        <v>1031</v>
      </c>
      <c r="H522" s="651" t="s">
        <v>1032</v>
      </c>
      <c r="I522" s="651" t="s">
        <v>19</v>
      </c>
      <c r="J522" s="682">
        <v>47097.79</v>
      </c>
      <c r="K522" s="680">
        <v>41.178800000000003</v>
      </c>
      <c r="L522" s="655">
        <f t="shared" si="56"/>
        <v>1143.7387684925252</v>
      </c>
      <c r="M522" s="681">
        <v>60</v>
      </c>
      <c r="N522" s="667">
        <f t="shared" si="58"/>
        <v>784.96316666666667</v>
      </c>
      <c r="O522" s="668">
        <f t="shared" ca="1" si="57"/>
        <v>129</v>
      </c>
      <c r="P522" s="655">
        <f t="shared" ca="1" si="59"/>
        <v>-54162.458500000001</v>
      </c>
      <c r="Q522" s="667">
        <f t="shared" ca="1" si="60"/>
        <v>1</v>
      </c>
      <c r="R522" s="669" t="s">
        <v>926</v>
      </c>
    </row>
    <row r="523" spans="2:18" ht="39.950000000000003" customHeight="1" x14ac:dyDescent="0.25">
      <c r="B523" s="661">
        <v>41425</v>
      </c>
      <c r="C523" s="662" t="s">
        <v>2351</v>
      </c>
      <c r="D523" s="669" t="s">
        <v>927</v>
      </c>
      <c r="E523" s="651" t="s">
        <v>1033</v>
      </c>
      <c r="F523" s="669" t="s">
        <v>929</v>
      </c>
      <c r="G523" s="675" t="s">
        <v>1034</v>
      </c>
      <c r="H523" s="651" t="s">
        <v>1035</v>
      </c>
      <c r="I523" s="651" t="s">
        <v>19</v>
      </c>
      <c r="J523" s="682">
        <v>47097.79</v>
      </c>
      <c r="K523" s="680">
        <v>41.178800000000003</v>
      </c>
      <c r="L523" s="655">
        <f t="shared" si="56"/>
        <v>1143.7387684925252</v>
      </c>
      <c r="M523" s="681">
        <v>60</v>
      </c>
      <c r="N523" s="667">
        <f t="shared" si="58"/>
        <v>784.96316666666667</v>
      </c>
      <c r="O523" s="668">
        <f t="shared" ca="1" si="57"/>
        <v>129</v>
      </c>
      <c r="P523" s="655">
        <f t="shared" ca="1" si="59"/>
        <v>-54162.458500000001</v>
      </c>
      <c r="Q523" s="667">
        <f t="shared" ca="1" si="60"/>
        <v>1</v>
      </c>
      <c r="R523" s="669" t="s">
        <v>926</v>
      </c>
    </row>
    <row r="524" spans="2:18" ht="39.950000000000003" customHeight="1" x14ac:dyDescent="0.25">
      <c r="B524" s="661">
        <v>41425</v>
      </c>
      <c r="C524" s="662" t="s">
        <v>2351</v>
      </c>
      <c r="D524" s="669" t="s">
        <v>927</v>
      </c>
      <c r="E524" s="651" t="s">
        <v>1036</v>
      </c>
      <c r="F524" s="669" t="s">
        <v>929</v>
      </c>
      <c r="G524" s="675" t="s">
        <v>1037</v>
      </c>
      <c r="H524" s="651" t="s">
        <v>1038</v>
      </c>
      <c r="I524" s="651" t="s">
        <v>19</v>
      </c>
      <c r="J524" s="682">
        <v>47097.79</v>
      </c>
      <c r="K524" s="680">
        <v>41.178800000000003</v>
      </c>
      <c r="L524" s="655">
        <f t="shared" si="56"/>
        <v>1143.7387684925252</v>
      </c>
      <c r="M524" s="681">
        <v>60</v>
      </c>
      <c r="N524" s="667">
        <f t="shared" si="58"/>
        <v>784.96316666666667</v>
      </c>
      <c r="O524" s="668">
        <f t="shared" ca="1" si="57"/>
        <v>129</v>
      </c>
      <c r="P524" s="655">
        <f t="shared" ca="1" si="59"/>
        <v>-54162.458500000001</v>
      </c>
      <c r="Q524" s="667">
        <f t="shared" ca="1" si="60"/>
        <v>1</v>
      </c>
      <c r="R524" s="669" t="s">
        <v>926</v>
      </c>
    </row>
    <row r="525" spans="2:18" ht="39.950000000000003" customHeight="1" x14ac:dyDescent="0.25">
      <c r="B525" s="661">
        <v>41425</v>
      </c>
      <c r="C525" s="662" t="s">
        <v>2351</v>
      </c>
      <c r="D525" s="669" t="s">
        <v>927</v>
      </c>
      <c r="E525" s="651" t="s">
        <v>1039</v>
      </c>
      <c r="F525" s="669" t="s">
        <v>923</v>
      </c>
      <c r="G525" s="675" t="s">
        <v>1040</v>
      </c>
      <c r="H525" s="651" t="s">
        <v>1041</v>
      </c>
      <c r="I525" s="651" t="s">
        <v>19</v>
      </c>
      <c r="J525" s="682">
        <v>57907.62</v>
      </c>
      <c r="K525" s="680">
        <v>41.178800000000003</v>
      </c>
      <c r="L525" s="655">
        <f t="shared" si="56"/>
        <v>1406.2483608070172</v>
      </c>
      <c r="M525" s="681">
        <v>60</v>
      </c>
      <c r="N525" s="667">
        <f t="shared" si="58"/>
        <v>965.12700000000007</v>
      </c>
      <c r="O525" s="668">
        <f t="shared" ca="1" si="57"/>
        <v>129</v>
      </c>
      <c r="P525" s="655">
        <f t="shared" ca="1" si="59"/>
        <v>-66593.763000000006</v>
      </c>
      <c r="Q525" s="667">
        <f t="shared" ca="1" si="60"/>
        <v>1</v>
      </c>
      <c r="R525" s="669" t="s">
        <v>926</v>
      </c>
    </row>
    <row r="526" spans="2:18" ht="39.950000000000003" customHeight="1" x14ac:dyDescent="0.25">
      <c r="B526" s="661">
        <v>41425</v>
      </c>
      <c r="C526" s="662" t="s">
        <v>2351</v>
      </c>
      <c r="D526" s="669" t="s">
        <v>927</v>
      </c>
      <c r="E526" s="651" t="s">
        <v>1042</v>
      </c>
      <c r="F526" s="669" t="s">
        <v>929</v>
      </c>
      <c r="G526" s="675" t="s">
        <v>1043</v>
      </c>
      <c r="H526" s="651" t="s">
        <v>1044</v>
      </c>
      <c r="I526" s="651" t="s">
        <v>19</v>
      </c>
      <c r="J526" s="682">
        <v>47097.79</v>
      </c>
      <c r="K526" s="680">
        <v>41.178800000000003</v>
      </c>
      <c r="L526" s="655">
        <f t="shared" si="56"/>
        <v>1143.7387684925252</v>
      </c>
      <c r="M526" s="681">
        <v>60</v>
      </c>
      <c r="N526" s="667">
        <f t="shared" si="58"/>
        <v>784.96316666666667</v>
      </c>
      <c r="O526" s="668">
        <f t="shared" ca="1" si="57"/>
        <v>129</v>
      </c>
      <c r="P526" s="655">
        <f t="shared" ca="1" si="59"/>
        <v>-54162.458500000001</v>
      </c>
      <c r="Q526" s="667">
        <f t="shared" ca="1" si="60"/>
        <v>1</v>
      </c>
      <c r="R526" s="669" t="s">
        <v>926</v>
      </c>
    </row>
    <row r="527" spans="2:18" ht="39.950000000000003" customHeight="1" x14ac:dyDescent="0.25">
      <c r="B527" s="661">
        <v>41443</v>
      </c>
      <c r="C527" s="662" t="s">
        <v>2351</v>
      </c>
      <c r="D527" s="669" t="s">
        <v>1045</v>
      </c>
      <c r="E527" s="651" t="s">
        <v>1046</v>
      </c>
      <c r="F527" s="669" t="s">
        <v>1047</v>
      </c>
      <c r="G527" s="675" t="s">
        <v>1048</v>
      </c>
      <c r="H527" s="651" t="s">
        <v>23</v>
      </c>
      <c r="I527" s="651" t="s">
        <v>677</v>
      </c>
      <c r="J527" s="682">
        <v>29287</v>
      </c>
      <c r="K527" s="680">
        <v>41.52</v>
      </c>
      <c r="L527" s="655">
        <f t="shared" si="56"/>
        <v>705.37090558766852</v>
      </c>
      <c r="M527" s="681">
        <v>60</v>
      </c>
      <c r="N527" s="667">
        <f t="shared" si="58"/>
        <v>488.11666666666667</v>
      </c>
      <c r="O527" s="668">
        <f t="shared" ca="1" si="57"/>
        <v>129</v>
      </c>
      <c r="P527" s="655">
        <f t="shared" ca="1" si="59"/>
        <v>-33680.050000000003</v>
      </c>
      <c r="Q527" s="667">
        <f t="shared" ca="1" si="60"/>
        <v>1</v>
      </c>
      <c r="R527" s="669" t="s">
        <v>778</v>
      </c>
    </row>
    <row r="528" spans="2:18" ht="39.950000000000003" customHeight="1" x14ac:dyDescent="0.25">
      <c r="B528" s="661">
        <v>41450</v>
      </c>
      <c r="C528" s="662" t="s">
        <v>2351</v>
      </c>
      <c r="D528" s="669" t="s">
        <v>1049</v>
      </c>
      <c r="E528" s="651" t="s">
        <v>1050</v>
      </c>
      <c r="F528" s="669" t="s">
        <v>1051</v>
      </c>
      <c r="G528" s="675" t="s">
        <v>1052</v>
      </c>
      <c r="H528" s="651" t="s">
        <v>1053</v>
      </c>
      <c r="I528" s="651" t="s">
        <v>19</v>
      </c>
      <c r="J528" s="682">
        <v>18159.240000000002</v>
      </c>
      <c r="K528" s="680">
        <v>41.59</v>
      </c>
      <c r="L528" s="655">
        <f t="shared" si="56"/>
        <v>436.6251502765088</v>
      </c>
      <c r="M528" s="681">
        <v>60</v>
      </c>
      <c r="N528" s="667">
        <f t="shared" si="58"/>
        <v>302.65400000000005</v>
      </c>
      <c r="O528" s="668">
        <f t="shared" ca="1" si="57"/>
        <v>128</v>
      </c>
      <c r="P528" s="655">
        <f t="shared" ca="1" si="59"/>
        <v>-20580.472000000005</v>
      </c>
      <c r="Q528" s="667">
        <f t="shared" ca="1" si="60"/>
        <v>1</v>
      </c>
      <c r="R528" s="669" t="s">
        <v>926</v>
      </c>
    </row>
    <row r="529" spans="2:18" ht="39.950000000000003" customHeight="1" x14ac:dyDescent="0.25">
      <c r="B529" s="661">
        <v>41450</v>
      </c>
      <c r="C529" s="662" t="s">
        <v>2351</v>
      </c>
      <c r="D529" s="669" t="s">
        <v>1049</v>
      </c>
      <c r="E529" s="651" t="s">
        <v>1054</v>
      </c>
      <c r="F529" s="669" t="s">
        <v>1051</v>
      </c>
      <c r="G529" s="675" t="s">
        <v>1055</v>
      </c>
      <c r="H529" s="651" t="s">
        <v>1056</v>
      </c>
      <c r="I529" s="651" t="s">
        <v>19</v>
      </c>
      <c r="J529" s="682">
        <v>18159.240000000002</v>
      </c>
      <c r="K529" s="680">
        <v>41.59</v>
      </c>
      <c r="L529" s="655">
        <f t="shared" si="56"/>
        <v>436.6251502765088</v>
      </c>
      <c r="M529" s="681">
        <v>60</v>
      </c>
      <c r="N529" s="667">
        <f t="shared" si="58"/>
        <v>302.65400000000005</v>
      </c>
      <c r="O529" s="668">
        <f t="shared" ca="1" si="57"/>
        <v>128</v>
      </c>
      <c r="P529" s="655">
        <f t="shared" ca="1" si="59"/>
        <v>-20580.472000000005</v>
      </c>
      <c r="Q529" s="667">
        <f t="shared" ca="1" si="60"/>
        <v>1</v>
      </c>
      <c r="R529" s="669" t="s">
        <v>926</v>
      </c>
    </row>
    <row r="530" spans="2:18" ht="39.950000000000003" customHeight="1" x14ac:dyDescent="0.25">
      <c r="B530" s="661">
        <v>41450</v>
      </c>
      <c r="C530" s="662" t="s">
        <v>2351</v>
      </c>
      <c r="D530" s="669" t="s">
        <v>1049</v>
      </c>
      <c r="E530" s="651" t="s">
        <v>1057</v>
      </c>
      <c r="F530" s="669" t="s">
        <v>1051</v>
      </c>
      <c r="G530" s="675" t="s">
        <v>1058</v>
      </c>
      <c r="H530" s="651" t="s">
        <v>1059</v>
      </c>
      <c r="I530" s="651" t="s">
        <v>19</v>
      </c>
      <c r="J530" s="682">
        <v>18159.240000000002</v>
      </c>
      <c r="K530" s="680">
        <v>41.59</v>
      </c>
      <c r="L530" s="655">
        <f t="shared" si="56"/>
        <v>436.6251502765088</v>
      </c>
      <c r="M530" s="681">
        <v>60</v>
      </c>
      <c r="N530" s="667">
        <f t="shared" si="58"/>
        <v>302.65400000000005</v>
      </c>
      <c r="O530" s="668">
        <f t="shared" ca="1" si="57"/>
        <v>128</v>
      </c>
      <c r="P530" s="655">
        <f t="shared" ca="1" si="59"/>
        <v>-20580.472000000005</v>
      </c>
      <c r="Q530" s="667">
        <f t="shared" ca="1" si="60"/>
        <v>1</v>
      </c>
      <c r="R530" s="669" t="s">
        <v>926</v>
      </c>
    </row>
    <row r="531" spans="2:18" ht="39.950000000000003" customHeight="1" x14ac:dyDescent="0.25">
      <c r="B531" s="661">
        <v>41450</v>
      </c>
      <c r="C531" s="662" t="s">
        <v>2351</v>
      </c>
      <c r="D531" s="669" t="s">
        <v>1049</v>
      </c>
      <c r="E531" s="651" t="s">
        <v>1060</v>
      </c>
      <c r="F531" s="669" t="s">
        <v>1051</v>
      </c>
      <c r="G531" s="675" t="s">
        <v>1061</v>
      </c>
      <c r="H531" s="651" t="s">
        <v>765</v>
      </c>
      <c r="I531" s="651" t="s">
        <v>19</v>
      </c>
      <c r="J531" s="682">
        <v>18159.240000000002</v>
      </c>
      <c r="K531" s="680">
        <v>41.59</v>
      </c>
      <c r="L531" s="655">
        <f t="shared" si="56"/>
        <v>436.6251502765088</v>
      </c>
      <c r="M531" s="681">
        <v>60</v>
      </c>
      <c r="N531" s="667">
        <f t="shared" si="58"/>
        <v>302.65400000000005</v>
      </c>
      <c r="O531" s="668">
        <f t="shared" ca="1" si="57"/>
        <v>128</v>
      </c>
      <c r="P531" s="655">
        <f t="shared" ca="1" si="59"/>
        <v>-20580.472000000005</v>
      </c>
      <c r="Q531" s="667">
        <f t="shared" ca="1" si="60"/>
        <v>1</v>
      </c>
      <c r="R531" s="669" t="s">
        <v>926</v>
      </c>
    </row>
    <row r="532" spans="2:18" ht="39.950000000000003" customHeight="1" x14ac:dyDescent="0.25">
      <c r="B532" s="661">
        <v>41450</v>
      </c>
      <c r="C532" s="662" t="s">
        <v>2351</v>
      </c>
      <c r="D532" s="669" t="s">
        <v>1049</v>
      </c>
      <c r="E532" s="651" t="s">
        <v>1062</v>
      </c>
      <c r="F532" s="669" t="s">
        <v>1063</v>
      </c>
      <c r="G532" s="675" t="s">
        <v>1064</v>
      </c>
      <c r="H532" s="651" t="s">
        <v>1065</v>
      </c>
      <c r="I532" s="651" t="s">
        <v>19</v>
      </c>
      <c r="J532" s="682">
        <v>57907.62</v>
      </c>
      <c r="K532" s="680">
        <v>41.59</v>
      </c>
      <c r="L532" s="655">
        <f t="shared" si="56"/>
        <v>1392.344794421736</v>
      </c>
      <c r="M532" s="681">
        <v>60</v>
      </c>
      <c r="N532" s="667">
        <f t="shared" si="58"/>
        <v>965.12700000000007</v>
      </c>
      <c r="O532" s="668">
        <f t="shared" ca="1" si="57"/>
        <v>128</v>
      </c>
      <c r="P532" s="655">
        <f t="shared" ca="1" si="59"/>
        <v>-65628.635999999999</v>
      </c>
      <c r="Q532" s="667">
        <f t="shared" ca="1" si="60"/>
        <v>1</v>
      </c>
      <c r="R532" s="669" t="s">
        <v>926</v>
      </c>
    </row>
    <row r="533" spans="2:18" ht="39.950000000000003" customHeight="1" x14ac:dyDescent="0.25">
      <c r="B533" s="661">
        <v>41450</v>
      </c>
      <c r="C533" s="662" t="s">
        <v>2351</v>
      </c>
      <c r="D533" s="669" t="s">
        <v>1049</v>
      </c>
      <c r="E533" s="651" t="s">
        <v>1066</v>
      </c>
      <c r="F533" s="669" t="s">
        <v>1051</v>
      </c>
      <c r="G533" s="675" t="s">
        <v>1067</v>
      </c>
      <c r="H533" s="651" t="s">
        <v>21</v>
      </c>
      <c r="I533" s="651" t="s">
        <v>19</v>
      </c>
      <c r="J533" s="682">
        <v>18159.240000000002</v>
      </c>
      <c r="K533" s="680">
        <v>41.59</v>
      </c>
      <c r="L533" s="655">
        <f t="shared" si="56"/>
        <v>436.6251502765088</v>
      </c>
      <c r="M533" s="681">
        <v>60</v>
      </c>
      <c r="N533" s="667">
        <f t="shared" si="58"/>
        <v>302.65400000000005</v>
      </c>
      <c r="O533" s="668">
        <f t="shared" ca="1" si="57"/>
        <v>128</v>
      </c>
      <c r="P533" s="655">
        <f t="shared" ca="1" si="59"/>
        <v>-20580.472000000005</v>
      </c>
      <c r="Q533" s="667">
        <f t="shared" ca="1" si="60"/>
        <v>1</v>
      </c>
      <c r="R533" s="669" t="s">
        <v>926</v>
      </c>
    </row>
    <row r="534" spans="2:18" ht="39.950000000000003" customHeight="1" x14ac:dyDescent="0.25">
      <c r="B534" s="661">
        <v>41450</v>
      </c>
      <c r="C534" s="662" t="s">
        <v>2351</v>
      </c>
      <c r="D534" s="669" t="s">
        <v>1049</v>
      </c>
      <c r="E534" s="651" t="s">
        <v>1068</v>
      </c>
      <c r="F534" s="669" t="s">
        <v>1063</v>
      </c>
      <c r="G534" s="675" t="s">
        <v>1069</v>
      </c>
      <c r="H534" s="651" t="s">
        <v>1070</v>
      </c>
      <c r="I534" s="651" t="s">
        <v>19</v>
      </c>
      <c r="J534" s="682">
        <v>57907.62</v>
      </c>
      <c r="K534" s="680">
        <v>41.59</v>
      </c>
      <c r="L534" s="655">
        <f t="shared" si="56"/>
        <v>1392.344794421736</v>
      </c>
      <c r="M534" s="681">
        <v>60</v>
      </c>
      <c r="N534" s="667">
        <f t="shared" si="58"/>
        <v>965.12700000000007</v>
      </c>
      <c r="O534" s="668">
        <f t="shared" ca="1" si="57"/>
        <v>128</v>
      </c>
      <c r="P534" s="655">
        <f t="shared" ca="1" si="59"/>
        <v>-65628.635999999999</v>
      </c>
      <c r="Q534" s="667">
        <f t="shared" ca="1" si="60"/>
        <v>1</v>
      </c>
      <c r="R534" s="669" t="s">
        <v>926</v>
      </c>
    </row>
    <row r="535" spans="2:18" ht="48.75" customHeight="1" x14ac:dyDescent="0.25">
      <c r="B535" s="661">
        <v>41450</v>
      </c>
      <c r="C535" s="662" t="s">
        <v>2351</v>
      </c>
      <c r="D535" s="669" t="s">
        <v>1049</v>
      </c>
      <c r="E535" s="651" t="s">
        <v>1071</v>
      </c>
      <c r="F535" s="669" t="s">
        <v>1051</v>
      </c>
      <c r="G535" s="675" t="s">
        <v>1072</v>
      </c>
      <c r="H535" s="651" t="s">
        <v>1073</v>
      </c>
      <c r="I535" s="651" t="s">
        <v>19</v>
      </c>
      <c r="J535" s="682">
        <v>18159.240000000002</v>
      </c>
      <c r="K535" s="680">
        <v>41.59</v>
      </c>
      <c r="L535" s="655">
        <f t="shared" si="56"/>
        <v>436.6251502765088</v>
      </c>
      <c r="M535" s="681">
        <v>60</v>
      </c>
      <c r="N535" s="667">
        <f t="shared" si="58"/>
        <v>302.65400000000005</v>
      </c>
      <c r="O535" s="668">
        <f t="shared" ca="1" si="57"/>
        <v>128</v>
      </c>
      <c r="P535" s="655">
        <f t="shared" ca="1" si="59"/>
        <v>-20580.472000000005</v>
      </c>
      <c r="Q535" s="667">
        <f t="shared" ca="1" si="60"/>
        <v>1</v>
      </c>
      <c r="R535" s="669" t="s">
        <v>926</v>
      </c>
    </row>
    <row r="536" spans="2:18" ht="39.950000000000003" customHeight="1" x14ac:dyDescent="0.25">
      <c r="B536" s="661">
        <v>41450</v>
      </c>
      <c r="C536" s="662" t="s">
        <v>2351</v>
      </c>
      <c r="D536" s="669" t="s">
        <v>1049</v>
      </c>
      <c r="E536" s="651" t="s">
        <v>1074</v>
      </c>
      <c r="F536" s="669" t="s">
        <v>1051</v>
      </c>
      <c r="G536" s="675" t="s">
        <v>1075</v>
      </c>
      <c r="H536" s="651" t="s">
        <v>1076</v>
      </c>
      <c r="I536" s="651" t="s">
        <v>19</v>
      </c>
      <c r="J536" s="682">
        <v>18159.240000000002</v>
      </c>
      <c r="K536" s="680">
        <v>41.59</v>
      </c>
      <c r="L536" s="655">
        <f t="shared" si="56"/>
        <v>436.6251502765088</v>
      </c>
      <c r="M536" s="681">
        <v>60</v>
      </c>
      <c r="N536" s="667">
        <f t="shared" si="58"/>
        <v>302.65400000000005</v>
      </c>
      <c r="O536" s="668">
        <f t="shared" ca="1" si="57"/>
        <v>128</v>
      </c>
      <c r="P536" s="655">
        <f t="shared" ca="1" si="59"/>
        <v>-20580.472000000005</v>
      </c>
      <c r="Q536" s="667">
        <f t="shared" ca="1" si="60"/>
        <v>1</v>
      </c>
      <c r="R536" s="669" t="s">
        <v>926</v>
      </c>
    </row>
    <row r="537" spans="2:18" ht="39.950000000000003" customHeight="1" x14ac:dyDescent="0.25">
      <c r="B537" s="661">
        <v>41450</v>
      </c>
      <c r="C537" s="662" t="s">
        <v>2351</v>
      </c>
      <c r="D537" s="669" t="s">
        <v>1049</v>
      </c>
      <c r="E537" s="651" t="s">
        <v>1077</v>
      </c>
      <c r="F537" s="669" t="s">
        <v>1051</v>
      </c>
      <c r="G537" s="675" t="s">
        <v>1078</v>
      </c>
      <c r="H537" s="651" t="s">
        <v>1079</v>
      </c>
      <c r="I537" s="651" t="s">
        <v>19</v>
      </c>
      <c r="J537" s="682">
        <v>18159.240000000002</v>
      </c>
      <c r="K537" s="680">
        <v>41.59</v>
      </c>
      <c r="L537" s="655">
        <f t="shared" si="56"/>
        <v>436.6251502765088</v>
      </c>
      <c r="M537" s="681">
        <v>60</v>
      </c>
      <c r="N537" s="667">
        <f t="shared" si="58"/>
        <v>302.65400000000005</v>
      </c>
      <c r="O537" s="668">
        <f t="shared" ca="1" si="57"/>
        <v>128</v>
      </c>
      <c r="P537" s="655">
        <f t="shared" ca="1" si="59"/>
        <v>-20580.472000000005</v>
      </c>
      <c r="Q537" s="667">
        <f t="shared" ca="1" si="60"/>
        <v>1</v>
      </c>
      <c r="R537" s="669" t="s">
        <v>926</v>
      </c>
    </row>
    <row r="538" spans="2:18" ht="39.950000000000003" customHeight="1" x14ac:dyDescent="0.25">
      <c r="B538" s="661">
        <v>41450</v>
      </c>
      <c r="C538" s="662" t="s">
        <v>2351</v>
      </c>
      <c r="D538" s="669" t="s">
        <v>1049</v>
      </c>
      <c r="E538" s="651" t="s">
        <v>1080</v>
      </c>
      <c r="F538" s="669" t="s">
        <v>1051</v>
      </c>
      <c r="G538" s="675" t="s">
        <v>1081</v>
      </c>
      <c r="H538" s="651" t="s">
        <v>1082</v>
      </c>
      <c r="I538" s="651" t="s">
        <v>19</v>
      </c>
      <c r="J538" s="682">
        <v>18159.240000000002</v>
      </c>
      <c r="K538" s="680">
        <v>41.59</v>
      </c>
      <c r="L538" s="655">
        <f t="shared" si="56"/>
        <v>436.6251502765088</v>
      </c>
      <c r="M538" s="681">
        <v>60</v>
      </c>
      <c r="N538" s="667">
        <f t="shared" si="58"/>
        <v>302.65400000000005</v>
      </c>
      <c r="O538" s="668">
        <f t="shared" ca="1" si="57"/>
        <v>128</v>
      </c>
      <c r="P538" s="655">
        <f t="shared" ca="1" si="59"/>
        <v>-20580.472000000005</v>
      </c>
      <c r="Q538" s="667">
        <f t="shared" ca="1" si="60"/>
        <v>1</v>
      </c>
      <c r="R538" s="669" t="s">
        <v>926</v>
      </c>
    </row>
    <row r="539" spans="2:18" ht="39.950000000000003" customHeight="1" x14ac:dyDescent="0.25">
      <c r="B539" s="661">
        <v>41450</v>
      </c>
      <c r="C539" s="662" t="s">
        <v>2351</v>
      </c>
      <c r="D539" s="669" t="s">
        <v>1049</v>
      </c>
      <c r="E539" s="651" t="s">
        <v>1083</v>
      </c>
      <c r="F539" s="669" t="s">
        <v>1063</v>
      </c>
      <c r="G539" s="675" t="s">
        <v>1084</v>
      </c>
      <c r="H539" s="651" t="s">
        <v>1085</v>
      </c>
      <c r="I539" s="651" t="s">
        <v>19</v>
      </c>
      <c r="J539" s="682">
        <v>57907.62</v>
      </c>
      <c r="K539" s="680">
        <v>41.59</v>
      </c>
      <c r="L539" s="655">
        <f t="shared" si="56"/>
        <v>1392.344794421736</v>
      </c>
      <c r="M539" s="681">
        <v>60</v>
      </c>
      <c r="N539" s="667">
        <f t="shared" si="58"/>
        <v>965.12700000000007</v>
      </c>
      <c r="O539" s="668">
        <f t="shared" ca="1" si="57"/>
        <v>128</v>
      </c>
      <c r="P539" s="655">
        <f t="shared" ca="1" si="59"/>
        <v>-65628.635999999999</v>
      </c>
      <c r="Q539" s="667">
        <f t="shared" ca="1" si="60"/>
        <v>1</v>
      </c>
      <c r="R539" s="669" t="s">
        <v>926</v>
      </c>
    </row>
    <row r="540" spans="2:18" ht="53.25" customHeight="1" x14ac:dyDescent="0.25">
      <c r="B540" s="661">
        <v>41450</v>
      </c>
      <c r="C540" s="662" t="s">
        <v>2351</v>
      </c>
      <c r="D540" s="669" t="s">
        <v>1049</v>
      </c>
      <c r="E540" s="651" t="s">
        <v>1086</v>
      </c>
      <c r="F540" s="669" t="s">
        <v>1063</v>
      </c>
      <c r="G540" s="675" t="s">
        <v>1087</v>
      </c>
      <c r="H540" s="651" t="s">
        <v>1088</v>
      </c>
      <c r="I540" s="651" t="s">
        <v>19</v>
      </c>
      <c r="J540" s="682">
        <v>57907.62</v>
      </c>
      <c r="K540" s="680">
        <v>41.59</v>
      </c>
      <c r="L540" s="655">
        <f t="shared" si="56"/>
        <v>1392.344794421736</v>
      </c>
      <c r="M540" s="681">
        <v>60</v>
      </c>
      <c r="N540" s="667">
        <f t="shared" si="58"/>
        <v>965.12700000000007</v>
      </c>
      <c r="O540" s="668">
        <f t="shared" ca="1" si="57"/>
        <v>128</v>
      </c>
      <c r="P540" s="655">
        <f t="shared" ca="1" si="59"/>
        <v>-65628.635999999999</v>
      </c>
      <c r="Q540" s="667">
        <f t="shared" ca="1" si="60"/>
        <v>1</v>
      </c>
      <c r="R540" s="669" t="s">
        <v>926</v>
      </c>
    </row>
    <row r="541" spans="2:18" ht="39.950000000000003" customHeight="1" x14ac:dyDescent="0.25">
      <c r="B541" s="661">
        <v>41450</v>
      </c>
      <c r="C541" s="662" t="s">
        <v>2351</v>
      </c>
      <c r="D541" s="669" t="s">
        <v>1049</v>
      </c>
      <c r="E541" s="651" t="s">
        <v>1089</v>
      </c>
      <c r="F541" s="669" t="s">
        <v>1063</v>
      </c>
      <c r="G541" s="675" t="s">
        <v>1090</v>
      </c>
      <c r="H541" s="651" t="s">
        <v>1091</v>
      </c>
      <c r="I541" s="651" t="s">
        <v>19</v>
      </c>
      <c r="J541" s="682">
        <v>57907.62</v>
      </c>
      <c r="K541" s="680">
        <v>41.59</v>
      </c>
      <c r="L541" s="655">
        <f t="shared" si="56"/>
        <v>1392.344794421736</v>
      </c>
      <c r="M541" s="681">
        <v>60</v>
      </c>
      <c r="N541" s="667">
        <f t="shared" si="58"/>
        <v>965.12700000000007</v>
      </c>
      <c r="O541" s="668">
        <f t="shared" ca="1" si="57"/>
        <v>128</v>
      </c>
      <c r="P541" s="655">
        <f t="shared" ca="1" si="59"/>
        <v>-65628.635999999999</v>
      </c>
      <c r="Q541" s="667">
        <f t="shared" ca="1" si="60"/>
        <v>1</v>
      </c>
      <c r="R541" s="669" t="s">
        <v>926</v>
      </c>
    </row>
    <row r="542" spans="2:18" ht="39.950000000000003" customHeight="1" x14ac:dyDescent="0.25">
      <c r="B542" s="661">
        <v>41453</v>
      </c>
      <c r="C542" s="662" t="s">
        <v>2351</v>
      </c>
      <c r="D542" s="669" t="s">
        <v>1049</v>
      </c>
      <c r="E542" s="651" t="s">
        <v>1092</v>
      </c>
      <c r="F542" s="663" t="s">
        <v>904</v>
      </c>
      <c r="G542" s="651" t="s">
        <v>28</v>
      </c>
      <c r="H542" s="651" t="s">
        <v>23</v>
      </c>
      <c r="I542" s="651" t="s">
        <v>738</v>
      </c>
      <c r="J542" s="680">
        <v>90500</v>
      </c>
      <c r="K542" s="680">
        <v>41.59</v>
      </c>
      <c r="L542" s="655">
        <f t="shared" si="56"/>
        <v>2176.0038470786244</v>
      </c>
      <c r="M542" s="681">
        <v>60</v>
      </c>
      <c r="N542" s="667">
        <f t="shared" si="58"/>
        <v>1508.3333333333333</v>
      </c>
      <c r="O542" s="668">
        <f t="shared" ca="1" si="57"/>
        <v>128</v>
      </c>
      <c r="P542" s="655">
        <f t="shared" ca="1" si="59"/>
        <v>-102566.66666666666</v>
      </c>
      <c r="Q542" s="667">
        <f t="shared" ca="1" si="60"/>
        <v>1</v>
      </c>
      <c r="R542" s="669" t="s">
        <v>905</v>
      </c>
    </row>
    <row r="543" spans="2:18" ht="39.950000000000003" customHeight="1" x14ac:dyDescent="0.25">
      <c r="B543" s="661">
        <v>41453</v>
      </c>
      <c r="C543" s="662" t="s">
        <v>2351</v>
      </c>
      <c r="D543" s="669" t="s">
        <v>1049</v>
      </c>
      <c r="E543" s="651" t="s">
        <v>1093</v>
      </c>
      <c r="F543" s="663" t="s">
        <v>914</v>
      </c>
      <c r="G543" s="651" t="s">
        <v>28</v>
      </c>
      <c r="H543" s="651" t="s">
        <v>23</v>
      </c>
      <c r="I543" s="651" t="s">
        <v>738</v>
      </c>
      <c r="J543" s="680">
        <v>3360</v>
      </c>
      <c r="K543" s="680">
        <v>41.59</v>
      </c>
      <c r="L543" s="655">
        <f t="shared" si="56"/>
        <v>80.788651118057217</v>
      </c>
      <c r="M543" s="681">
        <v>60</v>
      </c>
      <c r="N543" s="667">
        <f t="shared" si="58"/>
        <v>56</v>
      </c>
      <c r="O543" s="668">
        <f t="shared" ca="1" si="57"/>
        <v>128</v>
      </c>
      <c r="P543" s="655">
        <f t="shared" ca="1" si="59"/>
        <v>-3808</v>
      </c>
      <c r="Q543" s="667">
        <f t="shared" ca="1" si="60"/>
        <v>1</v>
      </c>
      <c r="R543" s="669" t="s">
        <v>915</v>
      </c>
    </row>
    <row r="544" spans="2:18" ht="39.950000000000003" customHeight="1" x14ac:dyDescent="0.25">
      <c r="B544" s="661">
        <v>41453</v>
      </c>
      <c r="C544" s="662" t="s">
        <v>2351</v>
      </c>
      <c r="D544" s="669" t="s">
        <v>1049</v>
      </c>
      <c r="E544" s="651" t="s">
        <v>1094</v>
      </c>
      <c r="F544" s="663" t="s">
        <v>914</v>
      </c>
      <c r="G544" s="651" t="s">
        <v>28</v>
      </c>
      <c r="H544" s="651" t="s">
        <v>23</v>
      </c>
      <c r="I544" s="651" t="s">
        <v>738</v>
      </c>
      <c r="J544" s="680">
        <v>3360</v>
      </c>
      <c r="K544" s="680">
        <v>41.59</v>
      </c>
      <c r="L544" s="655">
        <f t="shared" si="56"/>
        <v>80.788651118057217</v>
      </c>
      <c r="M544" s="681">
        <v>60</v>
      </c>
      <c r="N544" s="667">
        <f t="shared" si="58"/>
        <v>56</v>
      </c>
      <c r="O544" s="668">
        <f t="shared" ca="1" si="57"/>
        <v>128</v>
      </c>
      <c r="P544" s="655">
        <f t="shared" ca="1" si="59"/>
        <v>-3808</v>
      </c>
      <c r="Q544" s="667">
        <f t="shared" ca="1" si="60"/>
        <v>1</v>
      </c>
      <c r="R544" s="669" t="s">
        <v>915</v>
      </c>
    </row>
    <row r="545" spans="2:18" ht="39.950000000000003" customHeight="1" x14ac:dyDescent="0.25">
      <c r="B545" s="661">
        <v>41453</v>
      </c>
      <c r="C545" s="662" t="s">
        <v>2351</v>
      </c>
      <c r="D545" s="669" t="s">
        <v>1049</v>
      </c>
      <c r="E545" s="651" t="s">
        <v>1095</v>
      </c>
      <c r="F545" s="663" t="s">
        <v>914</v>
      </c>
      <c r="G545" s="651" t="s">
        <v>28</v>
      </c>
      <c r="H545" s="651" t="s">
        <v>23</v>
      </c>
      <c r="I545" s="651" t="s">
        <v>738</v>
      </c>
      <c r="J545" s="680">
        <v>3360</v>
      </c>
      <c r="K545" s="680">
        <v>41.59</v>
      </c>
      <c r="L545" s="655">
        <f t="shared" ref="L545:L605" si="61">+J545/K545</f>
        <v>80.788651118057217</v>
      </c>
      <c r="M545" s="681">
        <v>60</v>
      </c>
      <c r="N545" s="667">
        <f t="shared" si="58"/>
        <v>56</v>
      </c>
      <c r="O545" s="668">
        <f t="shared" ref="O545:O605" ca="1" si="62">IF(B545&lt;&gt;0,(ROUND((NOW()-B545)/30,0)),0)</f>
        <v>128</v>
      </c>
      <c r="P545" s="655">
        <f t="shared" ca="1" si="59"/>
        <v>-3808</v>
      </c>
      <c r="Q545" s="667">
        <f t="shared" ca="1" si="60"/>
        <v>1</v>
      </c>
      <c r="R545" s="669" t="s">
        <v>915</v>
      </c>
    </row>
    <row r="546" spans="2:18" ht="39.950000000000003" customHeight="1" x14ac:dyDescent="0.25">
      <c r="B546" s="661">
        <v>41488</v>
      </c>
      <c r="C546" s="662" t="s">
        <v>2351</v>
      </c>
      <c r="D546" s="669" t="s">
        <v>1096</v>
      </c>
      <c r="E546" s="651" t="s">
        <v>1097</v>
      </c>
      <c r="F546" s="663" t="s">
        <v>1098</v>
      </c>
      <c r="G546" s="651">
        <v>38405311</v>
      </c>
      <c r="H546" s="651" t="s">
        <v>23</v>
      </c>
      <c r="I546" s="651" t="s">
        <v>738</v>
      </c>
      <c r="J546" s="674">
        <v>598000</v>
      </c>
      <c r="K546" s="674">
        <v>42.04</v>
      </c>
      <c r="L546" s="655">
        <f t="shared" si="61"/>
        <v>14224.548049476689</v>
      </c>
      <c r="M546" s="666">
        <v>60</v>
      </c>
      <c r="N546" s="667">
        <f t="shared" ref="N546:N606" si="63">IF(AND(J546&lt;&gt;0,M546&lt;&gt;0),J546/M546,0)</f>
        <v>9966.6666666666661</v>
      </c>
      <c r="O546" s="668">
        <f t="shared" ca="1" si="62"/>
        <v>127</v>
      </c>
      <c r="P546" s="655">
        <f t="shared" ref="P546:P606" ca="1" si="64">IF(OR(J546=0,M546=0,O546=0),0,J546-(N546*O546))</f>
        <v>-667766.66666666651</v>
      </c>
      <c r="Q546" s="667">
        <f t="shared" ca="1" si="60"/>
        <v>1</v>
      </c>
      <c r="R546" s="669" t="s">
        <v>1099</v>
      </c>
    </row>
    <row r="547" spans="2:18" ht="39.950000000000003" customHeight="1" x14ac:dyDescent="0.25">
      <c r="B547" s="661">
        <v>41540</v>
      </c>
      <c r="C547" s="662" t="s">
        <v>2351</v>
      </c>
      <c r="D547" s="669" t="s">
        <v>1100</v>
      </c>
      <c r="E547" s="651" t="s">
        <v>1101</v>
      </c>
      <c r="F547" s="669" t="s">
        <v>1102</v>
      </c>
      <c r="G547" s="651" t="s">
        <v>1103</v>
      </c>
      <c r="H547" s="651" t="s">
        <v>23</v>
      </c>
      <c r="I547" s="651" t="s">
        <v>677</v>
      </c>
      <c r="J547" s="664">
        <v>2200</v>
      </c>
      <c r="K547" s="674">
        <v>42.62</v>
      </c>
      <c r="L547" s="655">
        <f t="shared" si="61"/>
        <v>51.618958235570155</v>
      </c>
      <c r="M547" s="666">
        <v>60</v>
      </c>
      <c r="N547" s="667">
        <f t="shared" si="63"/>
        <v>36.666666666666664</v>
      </c>
      <c r="O547" s="668">
        <f t="shared" ca="1" si="62"/>
        <v>125</v>
      </c>
      <c r="P547" s="655">
        <f t="shared" ca="1" si="64"/>
        <v>-2383.333333333333</v>
      </c>
      <c r="Q547" s="667">
        <f t="shared" ca="1" si="60"/>
        <v>1</v>
      </c>
      <c r="R547" s="669" t="s">
        <v>1104</v>
      </c>
    </row>
    <row r="548" spans="2:18" ht="39.950000000000003" customHeight="1" x14ac:dyDescent="0.25">
      <c r="B548" s="661">
        <v>41543</v>
      </c>
      <c r="C548" s="662" t="s">
        <v>2351</v>
      </c>
      <c r="D548" s="669" t="s">
        <v>1105</v>
      </c>
      <c r="E548" s="651" t="s">
        <v>1106</v>
      </c>
      <c r="F548" s="663" t="s">
        <v>1107</v>
      </c>
      <c r="G548" s="651">
        <v>2541936</v>
      </c>
      <c r="H548" s="651" t="s">
        <v>1108</v>
      </c>
      <c r="I548" s="651" t="s">
        <v>19</v>
      </c>
      <c r="J548" s="674">
        <v>53284.75</v>
      </c>
      <c r="K548" s="674">
        <v>42.46</v>
      </c>
      <c r="L548" s="655">
        <f t="shared" si="61"/>
        <v>1254.9399434762129</v>
      </c>
      <c r="M548" s="666">
        <v>60</v>
      </c>
      <c r="N548" s="667">
        <f t="shared" si="63"/>
        <v>888.07916666666665</v>
      </c>
      <c r="O548" s="668">
        <f t="shared" ca="1" si="62"/>
        <v>125</v>
      </c>
      <c r="P548" s="655">
        <f t="shared" ca="1" si="64"/>
        <v>-57725.145833333328</v>
      </c>
      <c r="Q548" s="667">
        <f t="shared" ca="1" si="60"/>
        <v>1</v>
      </c>
      <c r="R548" s="669" t="s">
        <v>1109</v>
      </c>
    </row>
    <row r="549" spans="2:18" ht="60.75" customHeight="1" x14ac:dyDescent="0.25">
      <c r="B549" s="661">
        <v>41543</v>
      </c>
      <c r="C549" s="662" t="s">
        <v>2351</v>
      </c>
      <c r="D549" s="669" t="s">
        <v>1110</v>
      </c>
      <c r="E549" s="651" t="s">
        <v>1111</v>
      </c>
      <c r="F549" s="663" t="s">
        <v>1112</v>
      </c>
      <c r="G549" s="651">
        <v>2280074</v>
      </c>
      <c r="H549" s="651" t="s">
        <v>1108</v>
      </c>
      <c r="I549" s="651" t="s">
        <v>19</v>
      </c>
      <c r="J549" s="674">
        <v>34650</v>
      </c>
      <c r="K549" s="674">
        <v>42.46</v>
      </c>
      <c r="L549" s="655">
        <f t="shared" si="61"/>
        <v>816.06217616580307</v>
      </c>
      <c r="M549" s="666">
        <v>60</v>
      </c>
      <c r="N549" s="667">
        <f t="shared" si="63"/>
        <v>577.5</v>
      </c>
      <c r="O549" s="668">
        <f t="shared" ca="1" si="62"/>
        <v>125</v>
      </c>
      <c r="P549" s="655">
        <f t="shared" ca="1" si="64"/>
        <v>-37537.5</v>
      </c>
      <c r="Q549" s="667">
        <f t="shared" ca="1" si="60"/>
        <v>1</v>
      </c>
      <c r="R549" s="669" t="s">
        <v>1113</v>
      </c>
    </row>
    <row r="550" spans="2:18" ht="60" customHeight="1" x14ac:dyDescent="0.25">
      <c r="B550" s="661">
        <v>41543</v>
      </c>
      <c r="C550" s="662" t="s">
        <v>2351</v>
      </c>
      <c r="D550" s="669" t="s">
        <v>1114</v>
      </c>
      <c r="E550" s="651" t="s">
        <v>1115</v>
      </c>
      <c r="F550" s="663" t="s">
        <v>1116</v>
      </c>
      <c r="G550" s="651" t="s">
        <v>1117</v>
      </c>
      <c r="H550" s="651" t="s">
        <v>1108</v>
      </c>
      <c r="I550" s="651" t="s">
        <v>19</v>
      </c>
      <c r="J550" s="674">
        <v>45500</v>
      </c>
      <c r="K550" s="674">
        <v>42.46</v>
      </c>
      <c r="L550" s="655">
        <f t="shared" si="61"/>
        <v>1071.596796985398</v>
      </c>
      <c r="M550" s="666">
        <v>60</v>
      </c>
      <c r="N550" s="667">
        <f t="shared" si="63"/>
        <v>758.33333333333337</v>
      </c>
      <c r="O550" s="668">
        <f t="shared" ca="1" si="62"/>
        <v>125</v>
      </c>
      <c r="P550" s="655">
        <f t="shared" ca="1" si="64"/>
        <v>-49291.666666666672</v>
      </c>
      <c r="Q550" s="667">
        <f t="shared" ca="1" si="60"/>
        <v>1</v>
      </c>
      <c r="R550" s="669" t="s">
        <v>1118</v>
      </c>
    </row>
    <row r="551" spans="2:18" ht="39.950000000000003" customHeight="1" x14ac:dyDescent="0.25">
      <c r="B551" s="661">
        <v>41548</v>
      </c>
      <c r="C551" s="662" t="s">
        <v>2351</v>
      </c>
      <c r="D551" s="669" t="s">
        <v>1119</v>
      </c>
      <c r="E551" s="651" t="s">
        <v>1120</v>
      </c>
      <c r="F551" s="663" t="s">
        <v>1121</v>
      </c>
      <c r="G551" s="651" t="s">
        <v>28</v>
      </c>
      <c r="H551" s="651" t="s">
        <v>1122</v>
      </c>
      <c r="I551" s="651" t="s">
        <v>19</v>
      </c>
      <c r="J551" s="674">
        <v>13330.51</v>
      </c>
      <c r="K551" s="674">
        <v>42.43</v>
      </c>
      <c r="L551" s="655">
        <f t="shared" si="61"/>
        <v>314.17652604289418</v>
      </c>
      <c r="M551" s="666">
        <v>60</v>
      </c>
      <c r="N551" s="667">
        <f t="shared" si="63"/>
        <v>222.17516666666668</v>
      </c>
      <c r="O551" s="668">
        <f t="shared" ca="1" si="62"/>
        <v>125</v>
      </c>
      <c r="P551" s="655">
        <f t="shared" ca="1" si="64"/>
        <v>-14441.385833333336</v>
      </c>
      <c r="Q551" s="667">
        <f t="shared" ca="1" si="60"/>
        <v>1</v>
      </c>
      <c r="R551" s="669" t="s">
        <v>1123</v>
      </c>
    </row>
    <row r="552" spans="2:18" ht="57" customHeight="1" x14ac:dyDescent="0.25">
      <c r="B552" s="661">
        <v>41744</v>
      </c>
      <c r="C552" s="662" t="s">
        <v>2351</v>
      </c>
      <c r="D552" s="669" t="s">
        <v>1125</v>
      </c>
      <c r="E552" s="651" t="s">
        <v>1127</v>
      </c>
      <c r="F552" s="663" t="s">
        <v>1126</v>
      </c>
      <c r="G552" s="651" t="s">
        <v>28</v>
      </c>
      <c r="H552" s="651" t="s">
        <v>1128</v>
      </c>
      <c r="I552" s="651" t="s">
        <v>19</v>
      </c>
      <c r="J552" s="674">
        <v>3675</v>
      </c>
      <c r="K552" s="674">
        <v>43.099600000000002</v>
      </c>
      <c r="L552" s="655">
        <f t="shared" si="61"/>
        <v>85.267612692461185</v>
      </c>
      <c r="M552" s="666">
        <v>60</v>
      </c>
      <c r="N552" s="667">
        <f t="shared" si="63"/>
        <v>61.25</v>
      </c>
      <c r="O552" s="668">
        <f t="shared" ca="1" si="62"/>
        <v>119</v>
      </c>
      <c r="P552" s="655">
        <f t="shared" ca="1" si="64"/>
        <v>-3613.75</v>
      </c>
      <c r="Q552" s="667">
        <f t="shared" ca="1" si="60"/>
        <v>1</v>
      </c>
      <c r="R552" s="669" t="s">
        <v>1124</v>
      </c>
    </row>
    <row r="553" spans="2:18" ht="50.25" customHeight="1" x14ac:dyDescent="0.25">
      <c r="B553" s="661">
        <v>41744</v>
      </c>
      <c r="C553" s="662" t="s">
        <v>2351</v>
      </c>
      <c r="D553" s="669" t="s">
        <v>1125</v>
      </c>
      <c r="E553" s="651" t="s">
        <v>1129</v>
      </c>
      <c r="F553" s="663" t="s">
        <v>1126</v>
      </c>
      <c r="G553" s="651" t="s">
        <v>28</v>
      </c>
      <c r="H553" s="651" t="s">
        <v>743</v>
      </c>
      <c r="I553" s="651" t="s">
        <v>19</v>
      </c>
      <c r="J553" s="674">
        <v>3675</v>
      </c>
      <c r="K553" s="674">
        <v>43.099600000000002</v>
      </c>
      <c r="L553" s="655">
        <f t="shared" si="61"/>
        <v>85.267612692461185</v>
      </c>
      <c r="M553" s="666">
        <v>6</v>
      </c>
      <c r="N553" s="667">
        <f t="shared" si="63"/>
        <v>612.5</v>
      </c>
      <c r="O553" s="668">
        <f t="shared" ca="1" si="62"/>
        <v>119</v>
      </c>
      <c r="P553" s="655">
        <f t="shared" ca="1" si="64"/>
        <v>-69212.5</v>
      </c>
      <c r="Q553" s="667">
        <f t="shared" ca="1" si="60"/>
        <v>1</v>
      </c>
      <c r="R553" s="669" t="s">
        <v>1124</v>
      </c>
    </row>
    <row r="554" spans="2:18" ht="65.25" customHeight="1" x14ac:dyDescent="0.25">
      <c r="B554" s="661">
        <v>41744</v>
      </c>
      <c r="C554" s="662" t="s">
        <v>2351</v>
      </c>
      <c r="D554" s="669" t="s">
        <v>1125</v>
      </c>
      <c r="E554" s="651" t="s">
        <v>1130</v>
      </c>
      <c r="F554" s="663" t="s">
        <v>1126</v>
      </c>
      <c r="G554" s="651" t="s">
        <v>28</v>
      </c>
      <c r="H554" s="651" t="s">
        <v>743</v>
      </c>
      <c r="I554" s="651" t="s">
        <v>19</v>
      </c>
      <c r="J554" s="674">
        <v>3675</v>
      </c>
      <c r="K554" s="674">
        <v>43.099600000000002</v>
      </c>
      <c r="L554" s="655">
        <f t="shared" si="61"/>
        <v>85.267612692461185</v>
      </c>
      <c r="M554" s="666">
        <v>60</v>
      </c>
      <c r="N554" s="667">
        <f t="shared" si="63"/>
        <v>61.25</v>
      </c>
      <c r="O554" s="668">
        <f t="shared" ca="1" si="62"/>
        <v>119</v>
      </c>
      <c r="P554" s="655">
        <f t="shared" ca="1" si="64"/>
        <v>-3613.75</v>
      </c>
      <c r="Q554" s="667">
        <f t="shared" ca="1" si="60"/>
        <v>1</v>
      </c>
      <c r="R554" s="669" t="s">
        <v>1124</v>
      </c>
    </row>
    <row r="555" spans="2:18" ht="54.75" customHeight="1" x14ac:dyDescent="0.25">
      <c r="B555" s="661">
        <v>41744</v>
      </c>
      <c r="C555" s="662" t="s">
        <v>2351</v>
      </c>
      <c r="D555" s="669" t="s">
        <v>1125</v>
      </c>
      <c r="E555" s="651" t="s">
        <v>1131</v>
      </c>
      <c r="F555" s="663" t="s">
        <v>1126</v>
      </c>
      <c r="G555" s="651" t="s">
        <v>28</v>
      </c>
      <c r="H555" s="651" t="s">
        <v>743</v>
      </c>
      <c r="I555" s="651" t="s">
        <v>19</v>
      </c>
      <c r="J555" s="674">
        <v>3675</v>
      </c>
      <c r="K555" s="674">
        <v>43.099600000000002</v>
      </c>
      <c r="L555" s="655">
        <f t="shared" si="61"/>
        <v>85.267612692461185</v>
      </c>
      <c r="M555" s="666">
        <v>60</v>
      </c>
      <c r="N555" s="667">
        <f t="shared" si="63"/>
        <v>61.25</v>
      </c>
      <c r="O555" s="668">
        <f t="shared" ca="1" si="62"/>
        <v>119</v>
      </c>
      <c r="P555" s="655">
        <f t="shared" ca="1" si="64"/>
        <v>-3613.75</v>
      </c>
      <c r="Q555" s="667">
        <f t="shared" ca="1" si="60"/>
        <v>1</v>
      </c>
      <c r="R555" s="669" t="s">
        <v>1124</v>
      </c>
    </row>
    <row r="556" spans="2:18" ht="60" customHeight="1" x14ac:dyDescent="0.25">
      <c r="B556" s="661">
        <v>41744</v>
      </c>
      <c r="C556" s="662" t="s">
        <v>2351</v>
      </c>
      <c r="D556" s="669" t="s">
        <v>1125</v>
      </c>
      <c r="E556" s="651" t="s">
        <v>1132</v>
      </c>
      <c r="F556" s="663" t="s">
        <v>1126</v>
      </c>
      <c r="G556" s="651" t="s">
        <v>28</v>
      </c>
      <c r="H556" s="651" t="s">
        <v>1133</v>
      </c>
      <c r="I556" s="651" t="s">
        <v>19</v>
      </c>
      <c r="J556" s="674">
        <v>3675</v>
      </c>
      <c r="K556" s="674">
        <v>43.099600000000002</v>
      </c>
      <c r="L556" s="655">
        <f t="shared" si="61"/>
        <v>85.267612692461185</v>
      </c>
      <c r="M556" s="666">
        <v>60</v>
      </c>
      <c r="N556" s="667">
        <f t="shared" si="63"/>
        <v>61.25</v>
      </c>
      <c r="O556" s="668">
        <f t="shared" ca="1" si="62"/>
        <v>119</v>
      </c>
      <c r="P556" s="655">
        <f t="shared" ca="1" si="64"/>
        <v>-3613.75</v>
      </c>
      <c r="Q556" s="667">
        <f t="shared" ca="1" si="60"/>
        <v>1</v>
      </c>
      <c r="R556" s="669" t="s">
        <v>1124</v>
      </c>
    </row>
    <row r="557" spans="2:18" ht="60.75" customHeight="1" x14ac:dyDescent="0.25">
      <c r="B557" s="661">
        <v>41744</v>
      </c>
      <c r="C557" s="662" t="s">
        <v>2351</v>
      </c>
      <c r="D557" s="669" t="s">
        <v>1125</v>
      </c>
      <c r="E557" s="651" t="s">
        <v>1134</v>
      </c>
      <c r="F557" s="663" t="s">
        <v>1126</v>
      </c>
      <c r="G557" s="651" t="s">
        <v>28</v>
      </c>
      <c r="H557" s="651" t="s">
        <v>1133</v>
      </c>
      <c r="I557" s="651" t="s">
        <v>19</v>
      </c>
      <c r="J557" s="674">
        <v>3675</v>
      </c>
      <c r="K557" s="674">
        <v>43.099600000000002</v>
      </c>
      <c r="L557" s="655">
        <f t="shared" si="61"/>
        <v>85.267612692461185</v>
      </c>
      <c r="M557" s="666">
        <v>60</v>
      </c>
      <c r="N557" s="667">
        <f t="shared" si="63"/>
        <v>61.25</v>
      </c>
      <c r="O557" s="668">
        <f t="shared" ca="1" si="62"/>
        <v>119</v>
      </c>
      <c r="P557" s="655">
        <f t="shared" ca="1" si="64"/>
        <v>-3613.75</v>
      </c>
      <c r="Q557" s="667">
        <f t="shared" ca="1" si="60"/>
        <v>1</v>
      </c>
      <c r="R557" s="669" t="s">
        <v>1124</v>
      </c>
    </row>
    <row r="558" spans="2:18" ht="64.5" customHeight="1" x14ac:dyDescent="0.25">
      <c r="B558" s="661">
        <v>41744</v>
      </c>
      <c r="C558" s="662" t="s">
        <v>2351</v>
      </c>
      <c r="D558" s="669" t="s">
        <v>1125</v>
      </c>
      <c r="E558" s="651" t="s">
        <v>1135</v>
      </c>
      <c r="F558" s="663" t="s">
        <v>1126</v>
      </c>
      <c r="G558" s="651" t="s">
        <v>28</v>
      </c>
      <c r="H558" s="651" t="s">
        <v>1136</v>
      </c>
      <c r="I558" s="651" t="s">
        <v>19</v>
      </c>
      <c r="J558" s="674">
        <v>3675</v>
      </c>
      <c r="K558" s="674">
        <v>43.099600000000002</v>
      </c>
      <c r="L558" s="655">
        <f t="shared" si="61"/>
        <v>85.267612692461185</v>
      </c>
      <c r="M558" s="666">
        <v>60</v>
      </c>
      <c r="N558" s="667">
        <f t="shared" si="63"/>
        <v>61.25</v>
      </c>
      <c r="O558" s="668">
        <f t="shared" ca="1" si="62"/>
        <v>119</v>
      </c>
      <c r="P558" s="655">
        <f t="shared" ca="1" si="64"/>
        <v>-3613.75</v>
      </c>
      <c r="Q558" s="667">
        <f t="shared" ca="1" si="60"/>
        <v>1</v>
      </c>
      <c r="R558" s="669" t="s">
        <v>1124</v>
      </c>
    </row>
    <row r="559" spans="2:18" ht="51" customHeight="1" x14ac:dyDescent="0.25">
      <c r="B559" s="661">
        <v>41744</v>
      </c>
      <c r="C559" s="662" t="s">
        <v>2351</v>
      </c>
      <c r="D559" s="669" t="s">
        <v>1125</v>
      </c>
      <c r="E559" s="651" t="s">
        <v>1137</v>
      </c>
      <c r="F559" s="663" t="s">
        <v>1126</v>
      </c>
      <c r="G559" s="651" t="s">
        <v>28</v>
      </c>
      <c r="H559" s="651" t="s">
        <v>1108</v>
      </c>
      <c r="I559" s="651" t="s">
        <v>19</v>
      </c>
      <c r="J559" s="674">
        <v>3675</v>
      </c>
      <c r="K559" s="674">
        <v>43.099600000000002</v>
      </c>
      <c r="L559" s="655">
        <f t="shared" si="61"/>
        <v>85.267612692461185</v>
      </c>
      <c r="M559" s="666">
        <v>60</v>
      </c>
      <c r="N559" s="667">
        <f t="shared" si="63"/>
        <v>61.25</v>
      </c>
      <c r="O559" s="668">
        <f t="shared" ca="1" si="62"/>
        <v>119</v>
      </c>
      <c r="P559" s="655">
        <f t="shared" ca="1" si="64"/>
        <v>-3613.75</v>
      </c>
      <c r="Q559" s="667">
        <f t="shared" ca="1" si="60"/>
        <v>1</v>
      </c>
      <c r="R559" s="669" t="s">
        <v>1124</v>
      </c>
    </row>
    <row r="560" spans="2:18" ht="50.25" customHeight="1" x14ac:dyDescent="0.25">
      <c r="B560" s="661">
        <v>41744</v>
      </c>
      <c r="C560" s="662" t="s">
        <v>2351</v>
      </c>
      <c r="D560" s="669" t="s">
        <v>1125</v>
      </c>
      <c r="E560" s="651" t="s">
        <v>1138</v>
      </c>
      <c r="F560" s="663" t="s">
        <v>1126</v>
      </c>
      <c r="G560" s="651" t="s">
        <v>28</v>
      </c>
      <c r="H560" s="651" t="s">
        <v>1139</v>
      </c>
      <c r="I560" s="651" t="s">
        <v>19</v>
      </c>
      <c r="J560" s="674">
        <v>3675</v>
      </c>
      <c r="K560" s="674">
        <v>43.099600000000002</v>
      </c>
      <c r="L560" s="655">
        <f t="shared" si="61"/>
        <v>85.267612692461185</v>
      </c>
      <c r="M560" s="666">
        <v>60</v>
      </c>
      <c r="N560" s="667">
        <f t="shared" si="63"/>
        <v>61.25</v>
      </c>
      <c r="O560" s="668">
        <f t="shared" ca="1" si="62"/>
        <v>119</v>
      </c>
      <c r="P560" s="655">
        <f t="shared" ca="1" si="64"/>
        <v>-3613.75</v>
      </c>
      <c r="Q560" s="667">
        <f t="shared" ca="1" si="60"/>
        <v>1</v>
      </c>
      <c r="R560" s="669" t="s">
        <v>1124</v>
      </c>
    </row>
    <row r="561" spans="2:18" ht="50.25" customHeight="1" x14ac:dyDescent="0.25">
      <c r="B561" s="661">
        <v>41744</v>
      </c>
      <c r="C561" s="662" t="s">
        <v>2351</v>
      </c>
      <c r="D561" s="669" t="s">
        <v>1125</v>
      </c>
      <c r="E561" s="651" t="s">
        <v>1140</v>
      </c>
      <c r="F561" s="663" t="s">
        <v>1126</v>
      </c>
      <c r="G561" s="651" t="s">
        <v>28</v>
      </c>
      <c r="H561" s="651" t="s">
        <v>60</v>
      </c>
      <c r="I561" s="651" t="s">
        <v>19</v>
      </c>
      <c r="J561" s="674">
        <v>3675</v>
      </c>
      <c r="K561" s="674">
        <v>43.099600000000002</v>
      </c>
      <c r="L561" s="655">
        <f t="shared" si="61"/>
        <v>85.267612692461185</v>
      </c>
      <c r="M561" s="666">
        <v>60</v>
      </c>
      <c r="N561" s="667">
        <f t="shared" si="63"/>
        <v>61.25</v>
      </c>
      <c r="O561" s="668">
        <f t="shared" ca="1" si="62"/>
        <v>119</v>
      </c>
      <c r="P561" s="655">
        <f t="shared" ca="1" si="64"/>
        <v>-3613.75</v>
      </c>
      <c r="Q561" s="667">
        <f t="shared" ca="1" si="60"/>
        <v>1</v>
      </c>
      <c r="R561" s="669" t="s">
        <v>1124</v>
      </c>
    </row>
    <row r="562" spans="2:18" ht="50.25" customHeight="1" x14ac:dyDescent="0.25">
      <c r="B562" s="661">
        <v>41744</v>
      </c>
      <c r="C562" s="662" t="s">
        <v>2351</v>
      </c>
      <c r="D562" s="669" t="s">
        <v>1125</v>
      </c>
      <c r="E562" s="651" t="s">
        <v>1141</v>
      </c>
      <c r="F562" s="663" t="s">
        <v>1126</v>
      </c>
      <c r="G562" s="651" t="s">
        <v>28</v>
      </c>
      <c r="H562" s="651" t="s">
        <v>1142</v>
      </c>
      <c r="I562" s="651" t="s">
        <v>19</v>
      </c>
      <c r="J562" s="674">
        <v>3675</v>
      </c>
      <c r="K562" s="674">
        <v>43.099600000000002</v>
      </c>
      <c r="L562" s="655">
        <f t="shared" si="61"/>
        <v>85.267612692461185</v>
      </c>
      <c r="M562" s="666">
        <v>60</v>
      </c>
      <c r="N562" s="667">
        <f t="shared" si="63"/>
        <v>61.25</v>
      </c>
      <c r="O562" s="668">
        <f t="shared" ca="1" si="62"/>
        <v>119</v>
      </c>
      <c r="P562" s="655">
        <f t="shared" ca="1" si="64"/>
        <v>-3613.75</v>
      </c>
      <c r="Q562" s="667">
        <f t="shared" ca="1" si="60"/>
        <v>1</v>
      </c>
      <c r="R562" s="669" t="s">
        <v>1124</v>
      </c>
    </row>
    <row r="563" spans="2:18" ht="47.25" customHeight="1" x14ac:dyDescent="0.25">
      <c r="B563" s="661">
        <v>41744</v>
      </c>
      <c r="C563" s="662" t="s">
        <v>2351</v>
      </c>
      <c r="D563" s="669" t="s">
        <v>1125</v>
      </c>
      <c r="E563" s="651" t="s">
        <v>1143</v>
      </c>
      <c r="F563" s="663" t="s">
        <v>1126</v>
      </c>
      <c r="G563" s="651" t="s">
        <v>28</v>
      </c>
      <c r="H563" s="651" t="s">
        <v>60</v>
      </c>
      <c r="I563" s="651" t="s">
        <v>19</v>
      </c>
      <c r="J563" s="674">
        <v>3675</v>
      </c>
      <c r="K563" s="674">
        <v>43.099600000000002</v>
      </c>
      <c r="L563" s="655">
        <f t="shared" si="61"/>
        <v>85.267612692461185</v>
      </c>
      <c r="M563" s="666">
        <v>60</v>
      </c>
      <c r="N563" s="667">
        <f t="shared" si="63"/>
        <v>61.25</v>
      </c>
      <c r="O563" s="668">
        <f t="shared" ca="1" si="62"/>
        <v>119</v>
      </c>
      <c r="P563" s="655">
        <f t="shared" ca="1" si="64"/>
        <v>-3613.75</v>
      </c>
      <c r="Q563" s="667">
        <f t="shared" ca="1" si="60"/>
        <v>1</v>
      </c>
      <c r="R563" s="669" t="s">
        <v>1124</v>
      </c>
    </row>
    <row r="564" spans="2:18" ht="50.25" customHeight="1" x14ac:dyDescent="0.25">
      <c r="B564" s="661">
        <v>41744</v>
      </c>
      <c r="C564" s="662" t="s">
        <v>2351</v>
      </c>
      <c r="D564" s="669" t="s">
        <v>1125</v>
      </c>
      <c r="E564" s="651" t="s">
        <v>1144</v>
      </c>
      <c r="F564" s="663" t="s">
        <v>1126</v>
      </c>
      <c r="G564" s="651" t="s">
        <v>28</v>
      </c>
      <c r="H564" s="651" t="s">
        <v>60</v>
      </c>
      <c r="I564" s="651" t="s">
        <v>19</v>
      </c>
      <c r="J564" s="674">
        <v>3675</v>
      </c>
      <c r="K564" s="674">
        <v>43.099600000000002</v>
      </c>
      <c r="L564" s="655">
        <f t="shared" si="61"/>
        <v>85.267612692461185</v>
      </c>
      <c r="M564" s="666">
        <v>60</v>
      </c>
      <c r="N564" s="667">
        <f t="shared" si="63"/>
        <v>61.25</v>
      </c>
      <c r="O564" s="668">
        <f t="shared" ca="1" si="62"/>
        <v>119</v>
      </c>
      <c r="P564" s="655">
        <f t="shared" ca="1" si="64"/>
        <v>-3613.75</v>
      </c>
      <c r="Q564" s="667">
        <f t="shared" ca="1" si="60"/>
        <v>1</v>
      </c>
      <c r="R564" s="669" t="s">
        <v>1124</v>
      </c>
    </row>
    <row r="565" spans="2:18" ht="55.5" customHeight="1" x14ac:dyDescent="0.25">
      <c r="B565" s="661">
        <v>41744</v>
      </c>
      <c r="C565" s="662" t="s">
        <v>2351</v>
      </c>
      <c r="D565" s="669" t="s">
        <v>1125</v>
      </c>
      <c r="E565" s="651" t="s">
        <v>1145</v>
      </c>
      <c r="F565" s="663" t="s">
        <v>1126</v>
      </c>
      <c r="G565" s="651" t="s">
        <v>28</v>
      </c>
      <c r="H565" s="651" t="s">
        <v>60</v>
      </c>
      <c r="I565" s="651" t="s">
        <v>19</v>
      </c>
      <c r="J565" s="674">
        <v>3675</v>
      </c>
      <c r="K565" s="674">
        <v>43.099600000000002</v>
      </c>
      <c r="L565" s="655">
        <f t="shared" si="61"/>
        <v>85.267612692461185</v>
      </c>
      <c r="M565" s="666">
        <v>60</v>
      </c>
      <c r="N565" s="667">
        <f t="shared" si="63"/>
        <v>61.25</v>
      </c>
      <c r="O565" s="668">
        <f t="shared" ca="1" si="62"/>
        <v>119</v>
      </c>
      <c r="P565" s="655">
        <f t="shared" ca="1" si="64"/>
        <v>-3613.75</v>
      </c>
      <c r="Q565" s="667">
        <f t="shared" ca="1" si="60"/>
        <v>1</v>
      </c>
      <c r="R565" s="669" t="s">
        <v>1124</v>
      </c>
    </row>
    <row r="566" spans="2:18" ht="54.75" customHeight="1" x14ac:dyDescent="0.25">
      <c r="B566" s="661">
        <v>41744</v>
      </c>
      <c r="C566" s="662" t="s">
        <v>2351</v>
      </c>
      <c r="D566" s="669" t="s">
        <v>1125</v>
      </c>
      <c r="E566" s="651" t="s">
        <v>1146</v>
      </c>
      <c r="F566" s="663" t="s">
        <v>1126</v>
      </c>
      <c r="G566" s="651" t="s">
        <v>28</v>
      </c>
      <c r="H566" s="651" t="s">
        <v>60</v>
      </c>
      <c r="I566" s="651" t="s">
        <v>19</v>
      </c>
      <c r="J566" s="674">
        <v>3675</v>
      </c>
      <c r="K566" s="674">
        <v>43.099600000000002</v>
      </c>
      <c r="L566" s="655">
        <f t="shared" si="61"/>
        <v>85.267612692461185</v>
      </c>
      <c r="M566" s="666">
        <v>60</v>
      </c>
      <c r="N566" s="667">
        <f t="shared" si="63"/>
        <v>61.25</v>
      </c>
      <c r="O566" s="668">
        <f t="shared" ca="1" si="62"/>
        <v>119</v>
      </c>
      <c r="P566" s="655">
        <f t="shared" ca="1" si="64"/>
        <v>-3613.75</v>
      </c>
      <c r="Q566" s="667">
        <f t="shared" ca="1" si="60"/>
        <v>1</v>
      </c>
      <c r="R566" s="669" t="s">
        <v>1124</v>
      </c>
    </row>
    <row r="567" spans="2:18" ht="48.75" customHeight="1" x14ac:dyDescent="0.25">
      <c r="B567" s="661">
        <v>41744</v>
      </c>
      <c r="C567" s="662" t="s">
        <v>2351</v>
      </c>
      <c r="D567" s="669" t="s">
        <v>1125</v>
      </c>
      <c r="E567" s="651" t="s">
        <v>1147</v>
      </c>
      <c r="F567" s="663" t="s">
        <v>1126</v>
      </c>
      <c r="G567" s="651" t="s">
        <v>28</v>
      </c>
      <c r="H567" s="651" t="s">
        <v>60</v>
      </c>
      <c r="I567" s="651" t="s">
        <v>19</v>
      </c>
      <c r="J567" s="674">
        <v>3675</v>
      </c>
      <c r="K567" s="674">
        <v>43.099600000000002</v>
      </c>
      <c r="L567" s="655">
        <f t="shared" si="61"/>
        <v>85.267612692461185</v>
      </c>
      <c r="M567" s="666">
        <v>60</v>
      </c>
      <c r="N567" s="667">
        <f t="shared" si="63"/>
        <v>61.25</v>
      </c>
      <c r="O567" s="668">
        <f t="shared" ca="1" si="62"/>
        <v>119</v>
      </c>
      <c r="P567" s="655">
        <f t="shared" ca="1" si="64"/>
        <v>-3613.75</v>
      </c>
      <c r="Q567" s="667">
        <f t="shared" ca="1" si="60"/>
        <v>1</v>
      </c>
      <c r="R567" s="669" t="s">
        <v>1124</v>
      </c>
    </row>
    <row r="568" spans="2:18" ht="48" customHeight="1" x14ac:dyDescent="0.25">
      <c r="B568" s="661">
        <v>41782</v>
      </c>
      <c r="C568" s="662" t="s">
        <v>2351</v>
      </c>
      <c r="D568" s="669" t="s">
        <v>1148</v>
      </c>
      <c r="E568" s="651" t="s">
        <v>1149</v>
      </c>
      <c r="F568" s="663" t="s">
        <v>1150</v>
      </c>
      <c r="G568" s="651">
        <v>13120778</v>
      </c>
      <c r="H568" s="651" t="s">
        <v>1151</v>
      </c>
      <c r="I568" s="651" t="s">
        <v>19</v>
      </c>
      <c r="J568" s="674">
        <v>6025.08</v>
      </c>
      <c r="K568" s="674">
        <v>43.159199999999998</v>
      </c>
      <c r="L568" s="655">
        <f t="shared" si="61"/>
        <v>139.60129010732359</v>
      </c>
      <c r="M568" s="666">
        <v>60</v>
      </c>
      <c r="N568" s="667">
        <f t="shared" si="63"/>
        <v>100.41799999999999</v>
      </c>
      <c r="O568" s="668">
        <f t="shared" ca="1" si="62"/>
        <v>117</v>
      </c>
      <c r="P568" s="655">
        <f t="shared" ca="1" si="64"/>
        <v>-5723.8259999999991</v>
      </c>
      <c r="Q568" s="667">
        <f t="shared" ca="1" si="60"/>
        <v>1</v>
      </c>
      <c r="R568" s="669" t="s">
        <v>1152</v>
      </c>
    </row>
    <row r="569" spans="2:18" ht="39.950000000000003" customHeight="1" x14ac:dyDescent="0.25">
      <c r="B569" s="661">
        <v>41789</v>
      </c>
      <c r="C569" s="662" t="s">
        <v>2351</v>
      </c>
      <c r="D569" s="669" t="s">
        <v>1153</v>
      </c>
      <c r="E569" s="651" t="s">
        <v>1154</v>
      </c>
      <c r="F569" s="663" t="s">
        <v>1155</v>
      </c>
      <c r="G569" s="651">
        <v>14130074</v>
      </c>
      <c r="H569" s="651" t="s">
        <v>1156</v>
      </c>
      <c r="I569" s="651" t="s">
        <v>19</v>
      </c>
      <c r="J569" s="674">
        <v>33908.950000000004</v>
      </c>
      <c r="K569" s="674">
        <v>43.216999999999999</v>
      </c>
      <c r="L569" s="655">
        <f t="shared" si="61"/>
        <v>784.62063539810731</v>
      </c>
      <c r="M569" s="666">
        <v>60</v>
      </c>
      <c r="N569" s="667">
        <f t="shared" si="63"/>
        <v>565.1491666666667</v>
      </c>
      <c r="O569" s="668">
        <f t="shared" ca="1" si="62"/>
        <v>117</v>
      </c>
      <c r="P569" s="655">
        <f t="shared" ca="1" si="64"/>
        <v>-32213.502499999995</v>
      </c>
      <c r="Q569" s="667">
        <f t="shared" ca="1" si="60"/>
        <v>1</v>
      </c>
      <c r="R569" s="669" t="s">
        <v>1152</v>
      </c>
    </row>
    <row r="570" spans="2:18" ht="65.25" customHeight="1" x14ac:dyDescent="0.25">
      <c r="B570" s="661">
        <v>41831</v>
      </c>
      <c r="C570" s="662" t="s">
        <v>2351</v>
      </c>
      <c r="D570" s="669" t="s">
        <v>1157</v>
      </c>
      <c r="E570" s="651" t="s">
        <v>1158</v>
      </c>
      <c r="F570" s="663" t="s">
        <v>1159</v>
      </c>
      <c r="G570" s="651" t="s">
        <v>28</v>
      </c>
      <c r="H570" s="651" t="s">
        <v>1082</v>
      </c>
      <c r="I570" s="651" t="s">
        <v>19</v>
      </c>
      <c r="J570" s="674">
        <v>3495</v>
      </c>
      <c r="K570" s="674">
        <v>43.416699999999999</v>
      </c>
      <c r="L570" s="655">
        <f t="shared" si="61"/>
        <v>80.498978503663338</v>
      </c>
      <c r="M570" s="666">
        <v>60</v>
      </c>
      <c r="N570" s="667">
        <f t="shared" si="63"/>
        <v>58.25</v>
      </c>
      <c r="O570" s="668">
        <f t="shared" ca="1" si="62"/>
        <v>116</v>
      </c>
      <c r="P570" s="655">
        <f t="shared" ca="1" si="64"/>
        <v>-3262</v>
      </c>
      <c r="Q570" s="667">
        <f t="shared" ca="1" si="60"/>
        <v>1</v>
      </c>
      <c r="R570" s="669" t="s">
        <v>1160</v>
      </c>
    </row>
    <row r="571" spans="2:18" ht="48.75" customHeight="1" x14ac:dyDescent="0.25">
      <c r="B571" s="661">
        <v>41842</v>
      </c>
      <c r="C571" s="662" t="s">
        <v>2351</v>
      </c>
      <c r="D571" s="669" t="s">
        <v>1161</v>
      </c>
      <c r="E571" s="651" t="s">
        <v>1162</v>
      </c>
      <c r="F571" s="663" t="s">
        <v>1126</v>
      </c>
      <c r="G571" s="651" t="s">
        <v>28</v>
      </c>
      <c r="H571" s="651" t="s">
        <v>1082</v>
      </c>
      <c r="I571" s="651" t="s">
        <v>19</v>
      </c>
      <c r="J571" s="674">
        <v>4460</v>
      </c>
      <c r="K571" s="674">
        <v>43.4756</v>
      </c>
      <c r="L571" s="655">
        <f t="shared" si="61"/>
        <v>102.58627828023074</v>
      </c>
      <c r="M571" s="666">
        <v>60</v>
      </c>
      <c r="N571" s="667">
        <f t="shared" si="63"/>
        <v>74.333333333333329</v>
      </c>
      <c r="O571" s="668">
        <f t="shared" ca="1" si="62"/>
        <v>115</v>
      </c>
      <c r="P571" s="655">
        <f t="shared" ca="1" si="64"/>
        <v>-4088.3333333333321</v>
      </c>
      <c r="Q571" s="667">
        <f t="shared" ca="1" si="60"/>
        <v>1</v>
      </c>
      <c r="R571" s="669" t="s">
        <v>1124</v>
      </c>
    </row>
    <row r="572" spans="2:18" ht="51.75" customHeight="1" x14ac:dyDescent="0.25">
      <c r="B572" s="661">
        <v>42059</v>
      </c>
      <c r="C572" s="662" t="s">
        <v>2351</v>
      </c>
      <c r="D572" s="669" t="s">
        <v>1163</v>
      </c>
      <c r="E572" s="651" t="s">
        <v>1164</v>
      </c>
      <c r="F572" s="663" t="s">
        <v>1165</v>
      </c>
      <c r="G572" s="651" t="s">
        <v>1166</v>
      </c>
      <c r="H572" s="651" t="s">
        <v>765</v>
      </c>
      <c r="I572" s="651" t="s">
        <v>19</v>
      </c>
      <c r="J572" s="674">
        <v>9815.2000000000007</v>
      </c>
      <c r="K572" s="674">
        <v>44.694200000000002</v>
      </c>
      <c r="L572" s="655">
        <f t="shared" si="61"/>
        <v>219.60791333103626</v>
      </c>
      <c r="M572" s="666">
        <v>60</v>
      </c>
      <c r="N572" s="667">
        <f t="shared" si="63"/>
        <v>163.58666666666667</v>
      </c>
      <c r="O572" s="668">
        <f t="shared" ca="1" si="62"/>
        <v>108</v>
      </c>
      <c r="P572" s="655">
        <f t="shared" ca="1" si="64"/>
        <v>-7852.16</v>
      </c>
      <c r="Q572" s="667">
        <f t="shared" ca="1" si="60"/>
        <v>1</v>
      </c>
      <c r="R572" s="669" t="s">
        <v>1152</v>
      </c>
    </row>
    <row r="573" spans="2:18" ht="39.950000000000003" customHeight="1" x14ac:dyDescent="0.25">
      <c r="B573" s="661">
        <v>42079</v>
      </c>
      <c r="C573" s="662" t="s">
        <v>2351</v>
      </c>
      <c r="D573" s="669" t="s">
        <v>1167</v>
      </c>
      <c r="E573" s="651" t="s">
        <v>1168</v>
      </c>
      <c r="F573" s="663" t="s">
        <v>1169</v>
      </c>
      <c r="G573" s="651" t="s">
        <v>1170</v>
      </c>
      <c r="H573" s="651" t="s">
        <v>1059</v>
      </c>
      <c r="I573" s="651" t="s">
        <v>19</v>
      </c>
      <c r="J573" s="674">
        <v>25172.3</v>
      </c>
      <c r="K573" s="674">
        <v>44.6233</v>
      </c>
      <c r="L573" s="655">
        <f t="shared" si="61"/>
        <v>564.10664383853282</v>
      </c>
      <c r="M573" s="666">
        <v>60</v>
      </c>
      <c r="N573" s="667">
        <f t="shared" si="63"/>
        <v>419.5383333333333</v>
      </c>
      <c r="O573" s="668">
        <f t="shared" ca="1" si="62"/>
        <v>107</v>
      </c>
      <c r="P573" s="655">
        <f t="shared" ca="1" si="64"/>
        <v>-19718.301666666663</v>
      </c>
      <c r="Q573" s="667">
        <f t="shared" ca="1" si="60"/>
        <v>1</v>
      </c>
      <c r="R573" s="669" t="s">
        <v>1171</v>
      </c>
    </row>
    <row r="574" spans="2:18" ht="39.950000000000003" customHeight="1" x14ac:dyDescent="0.25">
      <c r="B574" s="661">
        <v>42087</v>
      </c>
      <c r="C574" s="662" t="s">
        <v>2351</v>
      </c>
      <c r="D574" s="669" t="s">
        <v>1172</v>
      </c>
      <c r="E574" s="651" t="s">
        <v>1173</v>
      </c>
      <c r="F574" s="663" t="s">
        <v>1174</v>
      </c>
      <c r="G574" s="651" t="s">
        <v>28</v>
      </c>
      <c r="H574" s="651" t="s">
        <v>765</v>
      </c>
      <c r="I574" s="651" t="s">
        <v>19</v>
      </c>
      <c r="J574" s="674">
        <v>7100</v>
      </c>
      <c r="K574" s="674">
        <v>44.6843</v>
      </c>
      <c r="L574" s="655">
        <f t="shared" si="61"/>
        <v>158.89249691726175</v>
      </c>
      <c r="M574" s="666">
        <v>60</v>
      </c>
      <c r="N574" s="667">
        <f t="shared" si="63"/>
        <v>118.33333333333333</v>
      </c>
      <c r="O574" s="668">
        <f t="shared" ca="1" si="62"/>
        <v>107</v>
      </c>
      <c r="P574" s="655">
        <f t="shared" ca="1" si="64"/>
        <v>-5561.6666666666661</v>
      </c>
      <c r="Q574" s="667">
        <f t="shared" ca="1" si="60"/>
        <v>1</v>
      </c>
      <c r="R574" s="669" t="s">
        <v>1175</v>
      </c>
    </row>
    <row r="575" spans="2:18" ht="39.950000000000003" customHeight="1" x14ac:dyDescent="0.25">
      <c r="B575" s="661">
        <v>42087</v>
      </c>
      <c r="C575" s="662" t="s">
        <v>2351</v>
      </c>
      <c r="D575" s="669" t="s">
        <v>1176</v>
      </c>
      <c r="E575" s="651" t="s">
        <v>1177</v>
      </c>
      <c r="F575" s="663" t="s">
        <v>1174</v>
      </c>
      <c r="G575" s="651" t="s">
        <v>28</v>
      </c>
      <c r="H575" s="651" t="s">
        <v>765</v>
      </c>
      <c r="I575" s="651" t="s">
        <v>19</v>
      </c>
      <c r="J575" s="674">
        <v>7100</v>
      </c>
      <c r="K575" s="674">
        <v>44.629600000000003</v>
      </c>
      <c r="L575" s="655">
        <f t="shared" si="61"/>
        <v>159.08724254754691</v>
      </c>
      <c r="M575" s="666">
        <v>60</v>
      </c>
      <c r="N575" s="667">
        <f t="shared" si="63"/>
        <v>118.33333333333333</v>
      </c>
      <c r="O575" s="668">
        <f t="shared" ca="1" si="62"/>
        <v>107</v>
      </c>
      <c r="P575" s="655">
        <f t="shared" ca="1" si="64"/>
        <v>-5561.6666666666661</v>
      </c>
      <c r="Q575" s="667">
        <f t="shared" ca="1" si="60"/>
        <v>1</v>
      </c>
      <c r="R575" s="669" t="s">
        <v>1178</v>
      </c>
    </row>
    <row r="576" spans="2:18" ht="38.25" customHeight="1" x14ac:dyDescent="0.25">
      <c r="B576" s="661">
        <v>42087</v>
      </c>
      <c r="C576" s="662" t="s">
        <v>2351</v>
      </c>
      <c r="D576" s="669" t="s">
        <v>1179</v>
      </c>
      <c r="E576" s="651" t="s">
        <v>1180</v>
      </c>
      <c r="F576" s="663" t="s">
        <v>1181</v>
      </c>
      <c r="G576" s="651" t="s">
        <v>1182</v>
      </c>
      <c r="H576" s="651" t="s">
        <v>765</v>
      </c>
      <c r="I576" s="651" t="s">
        <v>19</v>
      </c>
      <c r="J576" s="674">
        <v>3822</v>
      </c>
      <c r="K576" s="674">
        <v>44.629600000000003</v>
      </c>
      <c r="L576" s="655">
        <f t="shared" si="61"/>
        <v>85.638231129116093</v>
      </c>
      <c r="M576" s="666">
        <v>60</v>
      </c>
      <c r="N576" s="667">
        <f t="shared" si="63"/>
        <v>63.7</v>
      </c>
      <c r="O576" s="668">
        <f t="shared" ca="1" si="62"/>
        <v>107</v>
      </c>
      <c r="P576" s="655">
        <f t="shared" ca="1" si="64"/>
        <v>-2993.9000000000005</v>
      </c>
      <c r="Q576" s="667">
        <f t="shared" ca="1" si="60"/>
        <v>1</v>
      </c>
      <c r="R576" s="669" t="s">
        <v>1183</v>
      </c>
    </row>
    <row r="577" spans="2:18" ht="59.25" customHeight="1" x14ac:dyDescent="0.25">
      <c r="B577" s="661">
        <v>42142</v>
      </c>
      <c r="C577" s="662" t="s">
        <v>2351</v>
      </c>
      <c r="D577" s="669" t="s">
        <v>1184</v>
      </c>
      <c r="E577" s="651" t="s">
        <v>1185</v>
      </c>
      <c r="F577" s="663" t="s">
        <v>1186</v>
      </c>
      <c r="G577" s="651" t="s">
        <v>28</v>
      </c>
      <c r="H577" s="651" t="s">
        <v>60</v>
      </c>
      <c r="I577" s="651" t="s">
        <v>19</v>
      </c>
      <c r="J577" s="674">
        <v>18025</v>
      </c>
      <c r="K577" s="674">
        <v>44.754199999999997</v>
      </c>
      <c r="L577" s="655">
        <f t="shared" si="61"/>
        <v>402.75549557359983</v>
      </c>
      <c r="M577" s="666">
        <v>60</v>
      </c>
      <c r="N577" s="667">
        <f t="shared" si="63"/>
        <v>300.41666666666669</v>
      </c>
      <c r="O577" s="668">
        <f t="shared" ca="1" si="62"/>
        <v>105</v>
      </c>
      <c r="P577" s="655">
        <f t="shared" ca="1" si="64"/>
        <v>-13518.750000000004</v>
      </c>
      <c r="Q577" s="667">
        <f t="shared" ca="1" si="60"/>
        <v>1</v>
      </c>
      <c r="R577" s="669" t="s">
        <v>1187</v>
      </c>
    </row>
    <row r="578" spans="2:18" ht="50.25" customHeight="1" x14ac:dyDescent="0.25">
      <c r="B578" s="661">
        <v>42142</v>
      </c>
      <c r="C578" s="662" t="s">
        <v>2351</v>
      </c>
      <c r="D578" s="669" t="s">
        <v>1184</v>
      </c>
      <c r="E578" s="651" t="s">
        <v>1188</v>
      </c>
      <c r="F578" s="663" t="s">
        <v>1186</v>
      </c>
      <c r="G578" s="651" t="s">
        <v>28</v>
      </c>
      <c r="H578" s="651" t="s">
        <v>60</v>
      </c>
      <c r="I578" s="651" t="s">
        <v>19</v>
      </c>
      <c r="J578" s="674">
        <v>18025</v>
      </c>
      <c r="K578" s="674">
        <v>44.754199999999997</v>
      </c>
      <c r="L578" s="655">
        <f t="shared" si="61"/>
        <v>402.75549557359983</v>
      </c>
      <c r="M578" s="666">
        <v>60</v>
      </c>
      <c r="N578" s="667">
        <f t="shared" si="63"/>
        <v>300.41666666666669</v>
      </c>
      <c r="O578" s="668">
        <f t="shared" ca="1" si="62"/>
        <v>105</v>
      </c>
      <c r="P578" s="655">
        <f t="shared" ca="1" si="64"/>
        <v>-13518.750000000004</v>
      </c>
      <c r="Q578" s="667">
        <f t="shared" ca="1" si="60"/>
        <v>1</v>
      </c>
      <c r="R578" s="669" t="s">
        <v>1187</v>
      </c>
    </row>
    <row r="579" spans="2:18" ht="102" customHeight="1" x14ac:dyDescent="0.25">
      <c r="B579" s="661">
        <v>42142</v>
      </c>
      <c r="C579" s="662" t="s">
        <v>2351</v>
      </c>
      <c r="D579" s="669" t="s">
        <v>1184</v>
      </c>
      <c r="E579" s="651" t="s">
        <v>1189</v>
      </c>
      <c r="F579" s="663" t="s">
        <v>1190</v>
      </c>
      <c r="G579" s="651" t="s">
        <v>1191</v>
      </c>
      <c r="H579" s="651" t="s">
        <v>45</v>
      </c>
      <c r="I579" s="651" t="s">
        <v>46</v>
      </c>
      <c r="J579" s="674">
        <v>25500</v>
      </c>
      <c r="K579" s="674">
        <v>44.754199999999997</v>
      </c>
      <c r="L579" s="655">
        <f t="shared" si="61"/>
        <v>569.77892577679859</v>
      </c>
      <c r="M579" s="666">
        <v>60</v>
      </c>
      <c r="N579" s="667">
        <f t="shared" si="63"/>
        <v>425</v>
      </c>
      <c r="O579" s="668">
        <f t="shared" ca="1" si="62"/>
        <v>105</v>
      </c>
      <c r="P579" s="655">
        <f t="shared" ca="1" si="64"/>
        <v>-19125</v>
      </c>
      <c r="Q579" s="667">
        <f t="shared" ca="1" si="60"/>
        <v>1</v>
      </c>
      <c r="R579" s="669" t="s">
        <v>1187</v>
      </c>
    </row>
    <row r="580" spans="2:18" ht="50.1" customHeight="1" x14ac:dyDescent="0.25">
      <c r="B580" s="661">
        <v>42142</v>
      </c>
      <c r="C580" s="662" t="s">
        <v>2351</v>
      </c>
      <c r="D580" s="669" t="s">
        <v>1184</v>
      </c>
      <c r="E580" s="651" t="s">
        <v>1192</v>
      </c>
      <c r="F580" s="663" t="s">
        <v>1186</v>
      </c>
      <c r="G580" s="651" t="s">
        <v>1193</v>
      </c>
      <c r="H580" s="651" t="s">
        <v>23</v>
      </c>
      <c r="I580" s="651" t="s">
        <v>1194</v>
      </c>
      <c r="J580" s="674">
        <v>18025</v>
      </c>
      <c r="K580" s="674">
        <v>44.754199999999997</v>
      </c>
      <c r="L580" s="655">
        <f t="shared" si="61"/>
        <v>402.75549557359983</v>
      </c>
      <c r="M580" s="666">
        <v>60</v>
      </c>
      <c r="N580" s="667">
        <f t="shared" si="63"/>
        <v>300.41666666666669</v>
      </c>
      <c r="O580" s="668">
        <f t="shared" ca="1" si="62"/>
        <v>105</v>
      </c>
      <c r="P580" s="655">
        <f t="shared" ca="1" si="64"/>
        <v>-13518.750000000004</v>
      </c>
      <c r="Q580" s="667">
        <f t="shared" ca="1" si="60"/>
        <v>1</v>
      </c>
      <c r="R580" s="669" t="s">
        <v>1187</v>
      </c>
    </row>
    <row r="581" spans="2:18" ht="50.1" customHeight="1" x14ac:dyDescent="0.25">
      <c r="B581" s="661">
        <v>42142</v>
      </c>
      <c r="C581" s="662" t="s">
        <v>2351</v>
      </c>
      <c r="D581" s="669" t="s">
        <v>1184</v>
      </c>
      <c r="E581" s="651" t="s">
        <v>1195</v>
      </c>
      <c r="F581" s="663" t="s">
        <v>1196</v>
      </c>
      <c r="G581" s="651" t="s">
        <v>28</v>
      </c>
      <c r="H581" s="651" t="s">
        <v>4421</v>
      </c>
      <c r="I581" s="651" t="s">
        <v>4422</v>
      </c>
      <c r="J581" s="674">
        <v>57424.990000000005</v>
      </c>
      <c r="K581" s="674">
        <v>44.754199999999997</v>
      </c>
      <c r="L581" s="655">
        <f t="shared" si="61"/>
        <v>1283.1195731350356</v>
      </c>
      <c r="M581" s="666">
        <v>60</v>
      </c>
      <c r="N581" s="667">
        <f t="shared" si="63"/>
        <v>957.08316666666678</v>
      </c>
      <c r="O581" s="668">
        <f t="shared" ca="1" si="62"/>
        <v>105</v>
      </c>
      <c r="P581" s="655">
        <f t="shared" ca="1" si="64"/>
        <v>-43068.742500000008</v>
      </c>
      <c r="Q581" s="667">
        <f t="shared" ca="1" si="60"/>
        <v>1</v>
      </c>
      <c r="R581" s="669" t="s">
        <v>1187</v>
      </c>
    </row>
    <row r="582" spans="2:18" ht="50.1" customHeight="1" x14ac:dyDescent="0.25">
      <c r="B582" s="661">
        <v>42142</v>
      </c>
      <c r="C582" s="662" t="s">
        <v>2351</v>
      </c>
      <c r="D582" s="669" t="s">
        <v>1184</v>
      </c>
      <c r="E582" s="651" t="s">
        <v>1197</v>
      </c>
      <c r="F582" s="663" t="s">
        <v>1186</v>
      </c>
      <c r="G582" s="651" t="s">
        <v>1198</v>
      </c>
      <c r="H582" s="651" t="s">
        <v>23</v>
      </c>
      <c r="I582" s="651" t="s">
        <v>1194</v>
      </c>
      <c r="J582" s="674">
        <v>18025</v>
      </c>
      <c r="K582" s="674">
        <v>44.754199999999997</v>
      </c>
      <c r="L582" s="655">
        <f t="shared" si="61"/>
        <v>402.75549557359983</v>
      </c>
      <c r="M582" s="666">
        <v>60</v>
      </c>
      <c r="N582" s="667">
        <f t="shared" si="63"/>
        <v>300.41666666666669</v>
      </c>
      <c r="O582" s="668">
        <f t="shared" ca="1" si="62"/>
        <v>105</v>
      </c>
      <c r="P582" s="655">
        <f t="shared" ca="1" si="64"/>
        <v>-13518.750000000004</v>
      </c>
      <c r="Q582" s="667">
        <f t="shared" ca="1" si="60"/>
        <v>1</v>
      </c>
      <c r="R582" s="669" t="s">
        <v>1187</v>
      </c>
    </row>
    <row r="583" spans="2:18" ht="50.1" customHeight="1" x14ac:dyDescent="0.25">
      <c r="B583" s="661">
        <v>42144</v>
      </c>
      <c r="C583" s="662" t="s">
        <v>2351</v>
      </c>
      <c r="D583" s="669" t="s">
        <v>1199</v>
      </c>
      <c r="E583" s="651" t="s">
        <v>1200</v>
      </c>
      <c r="F583" s="663" t="s">
        <v>1201</v>
      </c>
      <c r="G583" s="651" t="s">
        <v>28</v>
      </c>
      <c r="H583" s="651" t="s">
        <v>45</v>
      </c>
      <c r="I583" s="651" t="s">
        <v>46</v>
      </c>
      <c r="J583" s="674">
        <v>4860.5400000000009</v>
      </c>
      <c r="K583" s="674">
        <v>44.754199999999997</v>
      </c>
      <c r="L583" s="655">
        <f t="shared" si="61"/>
        <v>108.60522587824163</v>
      </c>
      <c r="M583" s="666">
        <v>60</v>
      </c>
      <c r="N583" s="667">
        <f t="shared" si="63"/>
        <v>81.009000000000015</v>
      </c>
      <c r="O583" s="668">
        <f t="shared" ca="1" si="62"/>
        <v>105</v>
      </c>
      <c r="P583" s="655">
        <f t="shared" ca="1" si="64"/>
        <v>-3645.4050000000007</v>
      </c>
      <c r="Q583" s="667">
        <f t="shared" ca="1" si="60"/>
        <v>1</v>
      </c>
      <c r="R583" s="669" t="s">
        <v>1202</v>
      </c>
    </row>
    <row r="584" spans="2:18" ht="50.1" customHeight="1" x14ac:dyDescent="0.25">
      <c r="B584" s="661">
        <v>42144</v>
      </c>
      <c r="C584" s="662" t="s">
        <v>2351</v>
      </c>
      <c r="D584" s="669" t="s">
        <v>1199</v>
      </c>
      <c r="E584" s="651" t="s">
        <v>1203</v>
      </c>
      <c r="F584" s="663" t="s">
        <v>1204</v>
      </c>
      <c r="G584" s="651" t="s">
        <v>28</v>
      </c>
      <c r="H584" s="651" t="s">
        <v>45</v>
      </c>
      <c r="I584" s="651" t="s">
        <v>46</v>
      </c>
      <c r="J584" s="674">
        <v>5946.79</v>
      </c>
      <c r="K584" s="674">
        <v>44.754199999999997</v>
      </c>
      <c r="L584" s="655">
        <f t="shared" si="61"/>
        <v>132.87669090275327</v>
      </c>
      <c r="M584" s="666">
        <v>60</v>
      </c>
      <c r="N584" s="667">
        <f t="shared" si="63"/>
        <v>99.113166666666672</v>
      </c>
      <c r="O584" s="668">
        <f t="shared" ca="1" si="62"/>
        <v>105</v>
      </c>
      <c r="P584" s="655">
        <f t="shared" ca="1" si="64"/>
        <v>-4460.0924999999997</v>
      </c>
      <c r="Q584" s="667">
        <f t="shared" ref="Q584:Q647" ca="1" si="65">IF(P584&lt;1,1,P584)</f>
        <v>1</v>
      </c>
      <c r="R584" s="669" t="s">
        <v>1202</v>
      </c>
    </row>
    <row r="585" spans="2:18" ht="50.1" customHeight="1" x14ac:dyDescent="0.25">
      <c r="B585" s="661">
        <v>42144</v>
      </c>
      <c r="C585" s="662" t="s">
        <v>2351</v>
      </c>
      <c r="D585" s="669" t="s">
        <v>1199</v>
      </c>
      <c r="E585" s="651" t="s">
        <v>1205</v>
      </c>
      <c r="F585" s="663" t="s">
        <v>1206</v>
      </c>
      <c r="G585" s="651" t="s">
        <v>28</v>
      </c>
      <c r="H585" s="651" t="s">
        <v>45</v>
      </c>
      <c r="I585" s="651" t="s">
        <v>46</v>
      </c>
      <c r="J585" s="674">
        <v>10593.45</v>
      </c>
      <c r="K585" s="674">
        <v>44.754199999999997</v>
      </c>
      <c r="L585" s="655">
        <f t="shared" si="61"/>
        <v>236.70292397138149</v>
      </c>
      <c r="M585" s="666">
        <v>60</v>
      </c>
      <c r="N585" s="667">
        <f t="shared" si="63"/>
        <v>176.5575</v>
      </c>
      <c r="O585" s="668">
        <f t="shared" ca="1" si="62"/>
        <v>105</v>
      </c>
      <c r="P585" s="655">
        <f t="shared" ca="1" si="64"/>
        <v>-7945.0875000000015</v>
      </c>
      <c r="Q585" s="667">
        <f t="shared" ca="1" si="65"/>
        <v>1</v>
      </c>
      <c r="R585" s="669" t="s">
        <v>1202</v>
      </c>
    </row>
    <row r="586" spans="2:18" ht="50.1" customHeight="1" x14ac:dyDescent="0.25">
      <c r="B586" s="661">
        <v>42144</v>
      </c>
      <c r="C586" s="662" t="s">
        <v>2351</v>
      </c>
      <c r="D586" s="669" t="s">
        <v>1199</v>
      </c>
      <c r="E586" s="651" t="s">
        <v>1207</v>
      </c>
      <c r="F586" s="663" t="s">
        <v>1208</v>
      </c>
      <c r="G586" s="651" t="s">
        <v>28</v>
      </c>
      <c r="H586" s="651" t="s">
        <v>45</v>
      </c>
      <c r="I586" s="651" t="s">
        <v>46</v>
      </c>
      <c r="J586" s="674">
        <v>1223.6600000000001</v>
      </c>
      <c r="K586" s="674">
        <v>44.748199999999997</v>
      </c>
      <c r="L586" s="655">
        <f t="shared" si="61"/>
        <v>27.345457470915036</v>
      </c>
      <c r="M586" s="666">
        <v>60</v>
      </c>
      <c r="N586" s="667">
        <f t="shared" si="63"/>
        <v>20.394333333333336</v>
      </c>
      <c r="O586" s="668">
        <f t="shared" ca="1" si="62"/>
        <v>105</v>
      </c>
      <c r="P586" s="655">
        <f t="shared" ca="1" si="64"/>
        <v>-917.74500000000012</v>
      </c>
      <c r="Q586" s="667">
        <f t="shared" ca="1" si="65"/>
        <v>1</v>
      </c>
      <c r="R586" s="669" t="s">
        <v>1202</v>
      </c>
    </row>
    <row r="587" spans="2:18" ht="50.1" customHeight="1" x14ac:dyDescent="0.25">
      <c r="B587" s="661">
        <v>42144</v>
      </c>
      <c r="C587" s="662" t="s">
        <v>2351</v>
      </c>
      <c r="D587" s="669" t="s">
        <v>1199</v>
      </c>
      <c r="E587" s="651" t="s">
        <v>1209</v>
      </c>
      <c r="F587" s="663" t="s">
        <v>1208</v>
      </c>
      <c r="G587" s="651" t="s">
        <v>28</v>
      </c>
      <c r="H587" s="651" t="s">
        <v>45</v>
      </c>
      <c r="I587" s="651" t="s">
        <v>46</v>
      </c>
      <c r="J587" s="674">
        <v>1223.6600000000001</v>
      </c>
      <c r="K587" s="674">
        <v>44.748199999999997</v>
      </c>
      <c r="L587" s="655">
        <f t="shared" si="61"/>
        <v>27.345457470915036</v>
      </c>
      <c r="M587" s="666">
        <v>60</v>
      </c>
      <c r="N587" s="667">
        <f t="shared" si="63"/>
        <v>20.394333333333336</v>
      </c>
      <c r="O587" s="668">
        <f t="shared" ca="1" si="62"/>
        <v>105</v>
      </c>
      <c r="P587" s="655">
        <f t="shared" ca="1" si="64"/>
        <v>-917.74500000000012</v>
      </c>
      <c r="Q587" s="667">
        <f t="shared" ca="1" si="65"/>
        <v>1</v>
      </c>
      <c r="R587" s="669" t="s">
        <v>1202</v>
      </c>
    </row>
    <row r="588" spans="2:18" ht="50.1" customHeight="1" x14ac:dyDescent="0.25">
      <c r="B588" s="661">
        <v>42144</v>
      </c>
      <c r="C588" s="662" t="s">
        <v>2351</v>
      </c>
      <c r="D588" s="669" t="s">
        <v>1199</v>
      </c>
      <c r="E588" s="651" t="s">
        <v>1210</v>
      </c>
      <c r="F588" s="663" t="s">
        <v>1208</v>
      </c>
      <c r="G588" s="651" t="s">
        <v>28</v>
      </c>
      <c r="H588" s="651" t="s">
        <v>45</v>
      </c>
      <c r="I588" s="651" t="s">
        <v>46</v>
      </c>
      <c r="J588" s="674">
        <v>1223.6600000000001</v>
      </c>
      <c r="K588" s="674">
        <v>44.748199999999997</v>
      </c>
      <c r="L588" s="655">
        <f t="shared" si="61"/>
        <v>27.345457470915036</v>
      </c>
      <c r="M588" s="666">
        <v>60</v>
      </c>
      <c r="N588" s="667">
        <f t="shared" si="63"/>
        <v>20.394333333333336</v>
      </c>
      <c r="O588" s="668">
        <f t="shared" ca="1" si="62"/>
        <v>105</v>
      </c>
      <c r="P588" s="655">
        <f t="shared" ca="1" si="64"/>
        <v>-917.74500000000012</v>
      </c>
      <c r="Q588" s="667">
        <f t="shared" ca="1" si="65"/>
        <v>1</v>
      </c>
      <c r="R588" s="669" t="s">
        <v>1202</v>
      </c>
    </row>
    <row r="589" spans="2:18" ht="50.1" customHeight="1" x14ac:dyDescent="0.25">
      <c r="B589" s="661">
        <v>42144</v>
      </c>
      <c r="C589" s="662" t="s">
        <v>2351</v>
      </c>
      <c r="D589" s="669" t="s">
        <v>1199</v>
      </c>
      <c r="E589" s="651" t="s">
        <v>1211</v>
      </c>
      <c r="F589" s="663" t="s">
        <v>1208</v>
      </c>
      <c r="G589" s="651" t="s">
        <v>28</v>
      </c>
      <c r="H589" s="651" t="s">
        <v>45</v>
      </c>
      <c r="I589" s="651" t="s">
        <v>46</v>
      </c>
      <c r="J589" s="674">
        <v>1223.6600000000001</v>
      </c>
      <c r="K589" s="674">
        <v>44.748199999999997</v>
      </c>
      <c r="L589" s="655">
        <f t="shared" si="61"/>
        <v>27.345457470915036</v>
      </c>
      <c r="M589" s="666">
        <v>60</v>
      </c>
      <c r="N589" s="667">
        <f t="shared" si="63"/>
        <v>20.394333333333336</v>
      </c>
      <c r="O589" s="668">
        <f t="shared" ca="1" si="62"/>
        <v>105</v>
      </c>
      <c r="P589" s="655">
        <f t="shared" ca="1" si="64"/>
        <v>-917.74500000000012</v>
      </c>
      <c r="Q589" s="667">
        <f t="shared" ca="1" si="65"/>
        <v>1</v>
      </c>
      <c r="R589" s="669" t="s">
        <v>1202</v>
      </c>
    </row>
    <row r="590" spans="2:18" ht="50.1" customHeight="1" x14ac:dyDescent="0.25">
      <c r="B590" s="661">
        <v>42144</v>
      </c>
      <c r="C590" s="662" t="s">
        <v>2351</v>
      </c>
      <c r="D590" s="669" t="s">
        <v>1199</v>
      </c>
      <c r="E590" s="651" t="s">
        <v>1212</v>
      </c>
      <c r="F590" s="663" t="s">
        <v>1213</v>
      </c>
      <c r="G590" s="651" t="s">
        <v>28</v>
      </c>
      <c r="H590" s="651" t="s">
        <v>45</v>
      </c>
      <c r="I590" s="651" t="s">
        <v>46</v>
      </c>
      <c r="J590" s="674">
        <v>7174.4</v>
      </c>
      <c r="K590" s="674">
        <v>44.748199999999997</v>
      </c>
      <c r="L590" s="655">
        <f t="shared" si="61"/>
        <v>160.32823666650279</v>
      </c>
      <c r="M590" s="666">
        <v>60</v>
      </c>
      <c r="N590" s="667">
        <f t="shared" si="63"/>
        <v>119.57333333333332</v>
      </c>
      <c r="O590" s="668">
        <f t="shared" ca="1" si="62"/>
        <v>105</v>
      </c>
      <c r="P590" s="655">
        <f t="shared" ca="1" si="64"/>
        <v>-5380.7999999999993</v>
      </c>
      <c r="Q590" s="667">
        <f t="shared" ca="1" si="65"/>
        <v>1</v>
      </c>
      <c r="R590" s="669" t="s">
        <v>1202</v>
      </c>
    </row>
    <row r="591" spans="2:18" ht="50.1" customHeight="1" x14ac:dyDescent="0.25">
      <c r="B591" s="661">
        <v>42144</v>
      </c>
      <c r="C591" s="662" t="s">
        <v>2351</v>
      </c>
      <c r="D591" s="669" t="s">
        <v>1199</v>
      </c>
      <c r="E591" s="651" t="s">
        <v>1214</v>
      </c>
      <c r="F591" s="663" t="s">
        <v>424</v>
      </c>
      <c r="G591" s="651" t="s">
        <v>28</v>
      </c>
      <c r="H591" s="651" t="s">
        <v>45</v>
      </c>
      <c r="I591" s="651" t="s">
        <v>46</v>
      </c>
      <c r="J591" s="674">
        <v>3209.6</v>
      </c>
      <c r="K591" s="674">
        <v>44.748199999999997</v>
      </c>
      <c r="L591" s="655">
        <f t="shared" si="61"/>
        <v>71.72579008764599</v>
      </c>
      <c r="M591" s="666">
        <v>60</v>
      </c>
      <c r="N591" s="667">
        <f t="shared" si="63"/>
        <v>53.493333333333332</v>
      </c>
      <c r="O591" s="668">
        <f t="shared" ca="1" si="62"/>
        <v>105</v>
      </c>
      <c r="P591" s="655">
        <f t="shared" ca="1" si="64"/>
        <v>-2407.2000000000003</v>
      </c>
      <c r="Q591" s="667">
        <f t="shared" ca="1" si="65"/>
        <v>1</v>
      </c>
      <c r="R591" s="669" t="s">
        <v>1202</v>
      </c>
    </row>
    <row r="592" spans="2:18" ht="50.1" customHeight="1" x14ac:dyDescent="0.25">
      <c r="B592" s="661">
        <v>42144</v>
      </c>
      <c r="C592" s="662" t="s">
        <v>2351</v>
      </c>
      <c r="D592" s="669" t="s">
        <v>1199</v>
      </c>
      <c r="E592" s="651" t="s">
        <v>1215</v>
      </c>
      <c r="F592" s="663" t="s">
        <v>424</v>
      </c>
      <c r="G592" s="651" t="s">
        <v>28</v>
      </c>
      <c r="H592" s="651" t="s">
        <v>45</v>
      </c>
      <c r="I592" s="651" t="s">
        <v>46</v>
      </c>
      <c r="J592" s="674">
        <v>3209.6</v>
      </c>
      <c r="K592" s="674">
        <v>44.748199999999997</v>
      </c>
      <c r="L592" s="655">
        <f t="shared" si="61"/>
        <v>71.72579008764599</v>
      </c>
      <c r="M592" s="666">
        <v>60</v>
      </c>
      <c r="N592" s="667">
        <f t="shared" si="63"/>
        <v>53.493333333333332</v>
      </c>
      <c r="O592" s="668">
        <f t="shared" ca="1" si="62"/>
        <v>105</v>
      </c>
      <c r="P592" s="655">
        <f t="shared" ca="1" si="64"/>
        <v>-2407.2000000000003</v>
      </c>
      <c r="Q592" s="667">
        <f t="shared" ca="1" si="65"/>
        <v>1</v>
      </c>
      <c r="R592" s="669" t="s">
        <v>1202</v>
      </c>
    </row>
    <row r="593" spans="2:18" ht="50.1" customHeight="1" x14ac:dyDescent="0.25">
      <c r="B593" s="661">
        <v>42144</v>
      </c>
      <c r="C593" s="662" t="s">
        <v>2351</v>
      </c>
      <c r="D593" s="669" t="s">
        <v>1216</v>
      </c>
      <c r="E593" s="651" t="s">
        <v>1217</v>
      </c>
      <c r="F593" s="663" t="s">
        <v>1165</v>
      </c>
      <c r="G593" s="651" t="s">
        <v>1218</v>
      </c>
      <c r="H593" s="651" t="s">
        <v>23</v>
      </c>
      <c r="I593" s="651" t="s">
        <v>1194</v>
      </c>
      <c r="J593" s="674">
        <v>10330</v>
      </c>
      <c r="K593" s="674">
        <v>44.748199999999997</v>
      </c>
      <c r="L593" s="655">
        <f t="shared" si="61"/>
        <v>230.84727430377089</v>
      </c>
      <c r="M593" s="666">
        <v>60</v>
      </c>
      <c r="N593" s="667">
        <f t="shared" si="63"/>
        <v>172.16666666666666</v>
      </c>
      <c r="O593" s="668">
        <f t="shared" ca="1" si="62"/>
        <v>105</v>
      </c>
      <c r="P593" s="655">
        <f t="shared" ca="1" si="64"/>
        <v>-7747.5</v>
      </c>
      <c r="Q593" s="667">
        <f t="shared" ca="1" si="65"/>
        <v>1</v>
      </c>
      <c r="R593" s="669" t="s">
        <v>1219</v>
      </c>
    </row>
    <row r="594" spans="2:18" ht="50.1" customHeight="1" x14ac:dyDescent="0.25">
      <c r="B594" s="661">
        <v>42144</v>
      </c>
      <c r="C594" s="662" t="s">
        <v>2351</v>
      </c>
      <c r="D594" s="669" t="s">
        <v>1199</v>
      </c>
      <c r="E594" s="651" t="s">
        <v>1220</v>
      </c>
      <c r="F594" s="663" t="s">
        <v>1201</v>
      </c>
      <c r="G594" s="651" t="s">
        <v>28</v>
      </c>
      <c r="H594" s="651" t="s">
        <v>23</v>
      </c>
      <c r="I594" s="651" t="s">
        <v>1194</v>
      </c>
      <c r="J594" s="674">
        <v>4860.5400000000009</v>
      </c>
      <c r="K594" s="674">
        <v>44.748199999999997</v>
      </c>
      <c r="L594" s="655">
        <f t="shared" si="61"/>
        <v>108.61978805851412</v>
      </c>
      <c r="M594" s="666">
        <v>60</v>
      </c>
      <c r="N594" s="667">
        <f t="shared" si="63"/>
        <v>81.009000000000015</v>
      </c>
      <c r="O594" s="668">
        <f t="shared" ca="1" si="62"/>
        <v>105</v>
      </c>
      <c r="P594" s="655">
        <f t="shared" ca="1" si="64"/>
        <v>-3645.4050000000007</v>
      </c>
      <c r="Q594" s="667">
        <f t="shared" ca="1" si="65"/>
        <v>1</v>
      </c>
      <c r="R594" s="669" t="s">
        <v>1202</v>
      </c>
    </row>
    <row r="595" spans="2:18" ht="50.1" customHeight="1" x14ac:dyDescent="0.25">
      <c r="B595" s="661">
        <v>42144</v>
      </c>
      <c r="C595" s="662" t="s">
        <v>2351</v>
      </c>
      <c r="D595" s="669" t="s">
        <v>1199</v>
      </c>
      <c r="E595" s="651" t="s">
        <v>1221</v>
      </c>
      <c r="F595" s="663" t="s">
        <v>1201</v>
      </c>
      <c r="G595" s="651" t="s">
        <v>28</v>
      </c>
      <c r="H595" s="651" t="s">
        <v>23</v>
      </c>
      <c r="I595" s="651" t="s">
        <v>1194</v>
      </c>
      <c r="J595" s="674">
        <v>4860.5400000000009</v>
      </c>
      <c r="K595" s="674">
        <v>44.748199999999997</v>
      </c>
      <c r="L595" s="655">
        <f t="shared" si="61"/>
        <v>108.61978805851412</v>
      </c>
      <c r="M595" s="666">
        <v>60</v>
      </c>
      <c r="N595" s="667">
        <f t="shared" si="63"/>
        <v>81.009000000000015</v>
      </c>
      <c r="O595" s="668">
        <f t="shared" ca="1" si="62"/>
        <v>105</v>
      </c>
      <c r="P595" s="655">
        <f t="shared" ca="1" si="64"/>
        <v>-3645.4050000000007</v>
      </c>
      <c r="Q595" s="667">
        <f t="shared" ca="1" si="65"/>
        <v>1</v>
      </c>
      <c r="R595" s="669" t="s">
        <v>1202</v>
      </c>
    </row>
    <row r="596" spans="2:18" ht="50.1" customHeight="1" x14ac:dyDescent="0.25">
      <c r="B596" s="661">
        <v>42144</v>
      </c>
      <c r="C596" s="662" t="s">
        <v>2351</v>
      </c>
      <c r="D596" s="669" t="s">
        <v>1199</v>
      </c>
      <c r="E596" s="651" t="s">
        <v>1222</v>
      </c>
      <c r="F596" s="663" t="s">
        <v>1201</v>
      </c>
      <c r="G596" s="651" t="s">
        <v>28</v>
      </c>
      <c r="H596" s="651" t="s">
        <v>23</v>
      </c>
      <c r="I596" s="651" t="s">
        <v>1194</v>
      </c>
      <c r="J596" s="674">
        <v>4860.5400000000009</v>
      </c>
      <c r="K596" s="674">
        <v>44.748199999999997</v>
      </c>
      <c r="L596" s="655">
        <f t="shared" si="61"/>
        <v>108.61978805851412</v>
      </c>
      <c r="M596" s="666">
        <v>60</v>
      </c>
      <c r="N596" s="667">
        <f t="shared" si="63"/>
        <v>81.009000000000015</v>
      </c>
      <c r="O596" s="668">
        <f t="shared" ca="1" si="62"/>
        <v>105</v>
      </c>
      <c r="P596" s="655">
        <f t="shared" ca="1" si="64"/>
        <v>-3645.4050000000007</v>
      </c>
      <c r="Q596" s="667">
        <f t="shared" ca="1" si="65"/>
        <v>1</v>
      </c>
      <c r="R596" s="669" t="s">
        <v>1202</v>
      </c>
    </row>
    <row r="597" spans="2:18" ht="50.1" customHeight="1" x14ac:dyDescent="0.25">
      <c r="B597" s="661">
        <v>42144</v>
      </c>
      <c r="C597" s="662" t="s">
        <v>2351</v>
      </c>
      <c r="D597" s="669" t="s">
        <v>1199</v>
      </c>
      <c r="E597" s="651" t="s">
        <v>1223</v>
      </c>
      <c r="F597" s="663" t="s">
        <v>1201</v>
      </c>
      <c r="G597" s="651" t="s">
        <v>28</v>
      </c>
      <c r="H597" s="651" t="s">
        <v>23</v>
      </c>
      <c r="I597" s="651" t="s">
        <v>1194</v>
      </c>
      <c r="J597" s="674">
        <v>4860.5400000000009</v>
      </c>
      <c r="K597" s="674">
        <v>44.748199999999997</v>
      </c>
      <c r="L597" s="655">
        <f t="shared" si="61"/>
        <v>108.61978805851412</v>
      </c>
      <c r="M597" s="666">
        <v>60</v>
      </c>
      <c r="N597" s="667">
        <f t="shared" si="63"/>
        <v>81.009000000000015</v>
      </c>
      <c r="O597" s="668">
        <f t="shared" ca="1" si="62"/>
        <v>105</v>
      </c>
      <c r="P597" s="655">
        <f t="shared" ca="1" si="64"/>
        <v>-3645.4050000000007</v>
      </c>
      <c r="Q597" s="667">
        <f t="shared" ca="1" si="65"/>
        <v>1</v>
      </c>
      <c r="R597" s="669" t="s">
        <v>1202</v>
      </c>
    </row>
    <row r="598" spans="2:18" ht="50.1" customHeight="1" x14ac:dyDescent="0.25">
      <c r="B598" s="661">
        <v>42144</v>
      </c>
      <c r="C598" s="662" t="s">
        <v>2351</v>
      </c>
      <c r="D598" s="669" t="s">
        <v>1199</v>
      </c>
      <c r="E598" s="651" t="s">
        <v>1224</v>
      </c>
      <c r="F598" s="663" t="s">
        <v>1225</v>
      </c>
      <c r="G598" s="651" t="s">
        <v>28</v>
      </c>
      <c r="H598" s="651" t="s">
        <v>23</v>
      </c>
      <c r="I598" s="651" t="s">
        <v>1194</v>
      </c>
      <c r="J598" s="674">
        <v>10204.52</v>
      </c>
      <c r="K598" s="674">
        <v>44.748199999999997</v>
      </c>
      <c r="L598" s="655">
        <f t="shared" si="61"/>
        <v>228.04313916537427</v>
      </c>
      <c r="M598" s="666">
        <v>60</v>
      </c>
      <c r="N598" s="667">
        <f t="shared" si="63"/>
        <v>170.07533333333333</v>
      </c>
      <c r="O598" s="668">
        <f t="shared" ca="1" si="62"/>
        <v>105</v>
      </c>
      <c r="P598" s="655">
        <f t="shared" ca="1" si="64"/>
        <v>-7653.3899999999994</v>
      </c>
      <c r="Q598" s="667">
        <f t="shared" ca="1" si="65"/>
        <v>1</v>
      </c>
      <c r="R598" s="669" t="s">
        <v>1202</v>
      </c>
    </row>
    <row r="599" spans="2:18" ht="50.1" customHeight="1" x14ac:dyDescent="0.25">
      <c r="B599" s="661">
        <v>42144</v>
      </c>
      <c r="C599" s="662" t="s">
        <v>2351</v>
      </c>
      <c r="D599" s="669" t="s">
        <v>1199</v>
      </c>
      <c r="E599" s="651" t="s">
        <v>1226</v>
      </c>
      <c r="F599" s="663" t="s">
        <v>1206</v>
      </c>
      <c r="G599" s="651" t="s">
        <v>28</v>
      </c>
      <c r="H599" s="651" t="s">
        <v>23</v>
      </c>
      <c r="I599" s="651" t="s">
        <v>1194</v>
      </c>
      <c r="J599" s="674">
        <v>10593.45</v>
      </c>
      <c r="K599" s="674">
        <v>44.748199999999997</v>
      </c>
      <c r="L599" s="655">
        <f t="shared" si="61"/>
        <v>236.73466195288304</v>
      </c>
      <c r="M599" s="666">
        <v>60</v>
      </c>
      <c r="N599" s="667">
        <f t="shared" si="63"/>
        <v>176.5575</v>
      </c>
      <c r="O599" s="668">
        <f t="shared" ca="1" si="62"/>
        <v>105</v>
      </c>
      <c r="P599" s="655">
        <f t="shared" ca="1" si="64"/>
        <v>-7945.0875000000015</v>
      </c>
      <c r="Q599" s="667">
        <f t="shared" ca="1" si="65"/>
        <v>1</v>
      </c>
      <c r="R599" s="669" t="s">
        <v>1202</v>
      </c>
    </row>
    <row r="600" spans="2:18" ht="50.1" customHeight="1" x14ac:dyDescent="0.25">
      <c r="B600" s="661">
        <v>42144</v>
      </c>
      <c r="C600" s="662" t="s">
        <v>2351</v>
      </c>
      <c r="D600" s="669" t="s">
        <v>1216</v>
      </c>
      <c r="E600" s="651" t="s">
        <v>1227</v>
      </c>
      <c r="F600" s="663" t="s">
        <v>1228</v>
      </c>
      <c r="G600" s="651" t="s">
        <v>1229</v>
      </c>
      <c r="H600" s="651" t="s">
        <v>4421</v>
      </c>
      <c r="I600" s="651" t="s">
        <v>4422</v>
      </c>
      <c r="J600" s="674">
        <v>2375</v>
      </c>
      <c r="K600" s="674">
        <v>44.748199999999997</v>
      </c>
      <c r="L600" s="655">
        <f t="shared" si="61"/>
        <v>53.074760549027673</v>
      </c>
      <c r="M600" s="666">
        <v>60</v>
      </c>
      <c r="N600" s="667">
        <f t="shared" si="63"/>
        <v>39.583333333333336</v>
      </c>
      <c r="O600" s="668">
        <f t="shared" ca="1" si="62"/>
        <v>105</v>
      </c>
      <c r="P600" s="655">
        <f t="shared" ca="1" si="64"/>
        <v>-1781.25</v>
      </c>
      <c r="Q600" s="667">
        <f t="shared" ca="1" si="65"/>
        <v>1</v>
      </c>
      <c r="R600" s="669" t="s">
        <v>1219</v>
      </c>
    </row>
    <row r="601" spans="2:18" ht="50.1" customHeight="1" x14ac:dyDescent="0.25">
      <c r="B601" s="661">
        <v>42144</v>
      </c>
      <c r="C601" s="662" t="s">
        <v>2351</v>
      </c>
      <c r="D601" s="669" t="s">
        <v>1199</v>
      </c>
      <c r="E601" s="651" t="s">
        <v>1231</v>
      </c>
      <c r="F601" s="663" t="s">
        <v>1201</v>
      </c>
      <c r="G601" s="651" t="s">
        <v>28</v>
      </c>
      <c r="H601" s="651" t="s">
        <v>4421</v>
      </c>
      <c r="I601" s="651" t="s">
        <v>4422</v>
      </c>
      <c r="J601" s="674">
        <v>4860.5400000000009</v>
      </c>
      <c r="K601" s="674">
        <v>44.748199999999997</v>
      </c>
      <c r="L601" s="655">
        <f t="shared" si="61"/>
        <v>108.61978805851412</v>
      </c>
      <c r="M601" s="666">
        <v>60</v>
      </c>
      <c r="N601" s="667">
        <f t="shared" si="63"/>
        <v>81.009000000000015</v>
      </c>
      <c r="O601" s="668">
        <f t="shared" ca="1" si="62"/>
        <v>105</v>
      </c>
      <c r="P601" s="655">
        <f t="shared" ca="1" si="64"/>
        <v>-3645.4050000000007</v>
      </c>
      <c r="Q601" s="667">
        <f t="shared" ca="1" si="65"/>
        <v>1</v>
      </c>
      <c r="R601" s="669" t="s">
        <v>1202</v>
      </c>
    </row>
    <row r="602" spans="2:18" ht="50.1" customHeight="1" x14ac:dyDescent="0.25">
      <c r="B602" s="661">
        <v>42144</v>
      </c>
      <c r="C602" s="662" t="s">
        <v>2351</v>
      </c>
      <c r="D602" s="669" t="s">
        <v>1199</v>
      </c>
      <c r="E602" s="651" t="s">
        <v>1232</v>
      </c>
      <c r="F602" s="663" t="s">
        <v>1201</v>
      </c>
      <c r="G602" s="651" t="s">
        <v>28</v>
      </c>
      <c r="H602" s="651" t="s">
        <v>4421</v>
      </c>
      <c r="I602" s="651" t="s">
        <v>4422</v>
      </c>
      <c r="J602" s="674">
        <v>4860.5400000000009</v>
      </c>
      <c r="K602" s="674">
        <v>44.748199999999997</v>
      </c>
      <c r="L602" s="655">
        <f t="shared" si="61"/>
        <v>108.61978805851412</v>
      </c>
      <c r="M602" s="666">
        <v>60</v>
      </c>
      <c r="N602" s="667">
        <f t="shared" si="63"/>
        <v>81.009000000000015</v>
      </c>
      <c r="O602" s="668">
        <f t="shared" ca="1" si="62"/>
        <v>105</v>
      </c>
      <c r="P602" s="655">
        <f t="shared" ca="1" si="64"/>
        <v>-3645.4050000000007</v>
      </c>
      <c r="Q602" s="667">
        <f t="shared" ca="1" si="65"/>
        <v>1</v>
      </c>
      <c r="R602" s="669" t="s">
        <v>1202</v>
      </c>
    </row>
    <row r="603" spans="2:18" ht="50.1" customHeight="1" x14ac:dyDescent="0.25">
      <c r="B603" s="661">
        <v>42144</v>
      </c>
      <c r="C603" s="662" t="s">
        <v>2351</v>
      </c>
      <c r="D603" s="669" t="s">
        <v>1199</v>
      </c>
      <c r="E603" s="651" t="s">
        <v>1233</v>
      </c>
      <c r="F603" s="663" t="s">
        <v>1201</v>
      </c>
      <c r="G603" s="651" t="s">
        <v>28</v>
      </c>
      <c r="H603" s="651" t="s">
        <v>4421</v>
      </c>
      <c r="I603" s="651" t="s">
        <v>4422</v>
      </c>
      <c r="J603" s="674">
        <v>4860.5400000000009</v>
      </c>
      <c r="K603" s="674">
        <v>44.748199999999997</v>
      </c>
      <c r="L603" s="655">
        <f t="shared" si="61"/>
        <v>108.61978805851412</v>
      </c>
      <c r="M603" s="666">
        <v>60</v>
      </c>
      <c r="N603" s="667">
        <f t="shared" si="63"/>
        <v>81.009000000000015</v>
      </c>
      <c r="O603" s="668">
        <f t="shared" ca="1" si="62"/>
        <v>105</v>
      </c>
      <c r="P603" s="655">
        <f t="shared" ca="1" si="64"/>
        <v>-3645.4050000000007</v>
      </c>
      <c r="Q603" s="667">
        <f t="shared" ca="1" si="65"/>
        <v>1</v>
      </c>
      <c r="R603" s="669" t="s">
        <v>1202</v>
      </c>
    </row>
    <row r="604" spans="2:18" ht="50.1" customHeight="1" x14ac:dyDescent="0.25">
      <c r="B604" s="661">
        <v>42144</v>
      </c>
      <c r="C604" s="662" t="s">
        <v>2351</v>
      </c>
      <c r="D604" s="669" t="s">
        <v>1199</v>
      </c>
      <c r="E604" s="651" t="s">
        <v>1234</v>
      </c>
      <c r="F604" s="663" t="s">
        <v>1201</v>
      </c>
      <c r="G604" s="651" t="s">
        <v>28</v>
      </c>
      <c r="H604" s="651" t="s">
        <v>4421</v>
      </c>
      <c r="I604" s="651" t="s">
        <v>4422</v>
      </c>
      <c r="J604" s="674">
        <v>4860.5400000000009</v>
      </c>
      <c r="K604" s="674">
        <v>44.748199999999997</v>
      </c>
      <c r="L604" s="655">
        <f t="shared" si="61"/>
        <v>108.61978805851412</v>
      </c>
      <c r="M604" s="666">
        <v>60</v>
      </c>
      <c r="N604" s="667">
        <f t="shared" si="63"/>
        <v>81.009000000000015</v>
      </c>
      <c r="O604" s="668">
        <f t="shared" ca="1" si="62"/>
        <v>105</v>
      </c>
      <c r="P604" s="655">
        <f t="shared" ca="1" si="64"/>
        <v>-3645.4050000000007</v>
      </c>
      <c r="Q604" s="667">
        <f t="shared" ca="1" si="65"/>
        <v>1</v>
      </c>
      <c r="R604" s="669" t="s">
        <v>1202</v>
      </c>
    </row>
    <row r="605" spans="2:18" ht="50.1" customHeight="1" x14ac:dyDescent="0.25">
      <c r="B605" s="661">
        <v>42144</v>
      </c>
      <c r="C605" s="662" t="s">
        <v>2351</v>
      </c>
      <c r="D605" s="669" t="s">
        <v>1199</v>
      </c>
      <c r="E605" s="651" t="s">
        <v>1235</v>
      </c>
      <c r="F605" s="663" t="s">
        <v>1174</v>
      </c>
      <c r="G605" s="651" t="s">
        <v>28</v>
      </c>
      <c r="H605" s="651" t="s">
        <v>4421</v>
      </c>
      <c r="I605" s="651" t="s">
        <v>4422</v>
      </c>
      <c r="J605" s="674">
        <v>10499.99</v>
      </c>
      <c r="K605" s="674">
        <v>44.748199999999997</v>
      </c>
      <c r="L605" s="655">
        <f t="shared" si="61"/>
        <v>234.64608632302529</v>
      </c>
      <c r="M605" s="666">
        <v>60</v>
      </c>
      <c r="N605" s="667">
        <f t="shared" si="63"/>
        <v>174.99983333333333</v>
      </c>
      <c r="O605" s="668">
        <f t="shared" ca="1" si="62"/>
        <v>105</v>
      </c>
      <c r="P605" s="655">
        <f t="shared" ca="1" si="64"/>
        <v>-7874.9924999999985</v>
      </c>
      <c r="Q605" s="667">
        <f t="shared" ca="1" si="65"/>
        <v>1</v>
      </c>
      <c r="R605" s="669" t="s">
        <v>1202</v>
      </c>
    </row>
    <row r="606" spans="2:18" ht="50.1" customHeight="1" x14ac:dyDescent="0.25">
      <c r="B606" s="661">
        <v>42144</v>
      </c>
      <c r="C606" s="662" t="s">
        <v>2351</v>
      </c>
      <c r="D606" s="669" t="s">
        <v>1199</v>
      </c>
      <c r="E606" s="651" t="s">
        <v>1236</v>
      </c>
      <c r="F606" s="663" t="s">
        <v>1237</v>
      </c>
      <c r="G606" s="651" t="s">
        <v>28</v>
      </c>
      <c r="H606" s="651" t="s">
        <v>4421</v>
      </c>
      <c r="I606" s="651" t="s">
        <v>4422</v>
      </c>
      <c r="J606" s="674">
        <v>5895.63</v>
      </c>
      <c r="K606" s="674">
        <v>44.748199999999997</v>
      </c>
      <c r="L606" s="655">
        <f t="shared" ref="L606:L657" si="66">+J606/K606</f>
        <v>131.75122127817434</v>
      </c>
      <c r="M606" s="666">
        <v>60</v>
      </c>
      <c r="N606" s="667">
        <f t="shared" si="63"/>
        <v>98.260500000000008</v>
      </c>
      <c r="O606" s="668">
        <f t="shared" ref="O606:O657" ca="1" si="67">IF(B606&lt;&gt;0,(ROUND((NOW()-B606)/30,0)),0)</f>
        <v>105</v>
      </c>
      <c r="P606" s="655">
        <f t="shared" ca="1" si="64"/>
        <v>-4421.7225000000008</v>
      </c>
      <c r="Q606" s="667">
        <f t="shared" ca="1" si="65"/>
        <v>1</v>
      </c>
      <c r="R606" s="669" t="s">
        <v>1202</v>
      </c>
    </row>
    <row r="607" spans="2:18" ht="50.1" customHeight="1" x14ac:dyDescent="0.25">
      <c r="B607" s="661">
        <v>42144</v>
      </c>
      <c r="C607" s="662" t="s">
        <v>2351</v>
      </c>
      <c r="D607" s="669" t="s">
        <v>1199</v>
      </c>
      <c r="E607" s="651" t="s">
        <v>1238</v>
      </c>
      <c r="F607" s="663" t="s">
        <v>1204</v>
      </c>
      <c r="G607" s="651" t="s">
        <v>28</v>
      </c>
      <c r="H607" s="651" t="s">
        <v>4421</v>
      </c>
      <c r="I607" s="651" t="s">
        <v>4422</v>
      </c>
      <c r="J607" s="674">
        <v>5946.79</v>
      </c>
      <c r="K607" s="674">
        <v>44.748199999999997</v>
      </c>
      <c r="L607" s="655">
        <f t="shared" si="66"/>
        <v>132.89450748856939</v>
      </c>
      <c r="M607" s="666">
        <v>60</v>
      </c>
      <c r="N607" s="667">
        <f t="shared" ref="N607:N657" si="68">IF(AND(J607&lt;&gt;0,M607&lt;&gt;0),J607/M607,0)</f>
        <v>99.113166666666672</v>
      </c>
      <c r="O607" s="668">
        <f t="shared" ca="1" si="67"/>
        <v>105</v>
      </c>
      <c r="P607" s="655">
        <f t="shared" ref="P607:P657" ca="1" si="69">IF(OR(J607=0,M607=0,O607=0),0,J607-(N607*O607))</f>
        <v>-4460.0924999999997</v>
      </c>
      <c r="Q607" s="667">
        <f t="shared" ca="1" si="65"/>
        <v>1</v>
      </c>
      <c r="R607" s="669" t="s">
        <v>1202</v>
      </c>
    </row>
    <row r="608" spans="2:18" ht="50.1" customHeight="1" x14ac:dyDescent="0.25">
      <c r="B608" s="661">
        <v>42144</v>
      </c>
      <c r="C608" s="662" t="s">
        <v>2351</v>
      </c>
      <c r="D608" s="669" t="s">
        <v>1199</v>
      </c>
      <c r="E608" s="651" t="s">
        <v>1239</v>
      </c>
      <c r="F608" s="663" t="s">
        <v>1225</v>
      </c>
      <c r="G608" s="651" t="s">
        <v>28</v>
      </c>
      <c r="H608" s="651" t="s">
        <v>4421</v>
      </c>
      <c r="I608" s="651" t="s">
        <v>4422</v>
      </c>
      <c r="J608" s="674">
        <v>10204.52</v>
      </c>
      <c r="K608" s="674">
        <v>44.748199999999997</v>
      </c>
      <c r="L608" s="655">
        <f t="shared" si="66"/>
        <v>228.04313916537427</v>
      </c>
      <c r="M608" s="666">
        <v>60</v>
      </c>
      <c r="N608" s="667">
        <f t="shared" si="68"/>
        <v>170.07533333333333</v>
      </c>
      <c r="O608" s="668">
        <f t="shared" ca="1" si="67"/>
        <v>105</v>
      </c>
      <c r="P608" s="655">
        <f t="shared" ca="1" si="69"/>
        <v>-7653.3899999999994</v>
      </c>
      <c r="Q608" s="667">
        <f t="shared" ca="1" si="65"/>
        <v>1</v>
      </c>
      <c r="R608" s="669" t="s">
        <v>1202</v>
      </c>
    </row>
    <row r="609" spans="2:18" ht="50.1" customHeight="1" x14ac:dyDescent="0.25">
      <c r="B609" s="661">
        <v>42144</v>
      </c>
      <c r="C609" s="662" t="s">
        <v>2351</v>
      </c>
      <c r="D609" s="669" t="s">
        <v>1199</v>
      </c>
      <c r="E609" s="651" t="s">
        <v>1240</v>
      </c>
      <c r="F609" s="663" t="s">
        <v>1206</v>
      </c>
      <c r="G609" s="651" t="s">
        <v>28</v>
      </c>
      <c r="H609" s="651" t="s">
        <v>4421</v>
      </c>
      <c r="I609" s="651" t="s">
        <v>4422</v>
      </c>
      <c r="J609" s="674">
        <v>10593.45</v>
      </c>
      <c r="K609" s="674">
        <v>44.748199999999997</v>
      </c>
      <c r="L609" s="655">
        <f t="shared" si="66"/>
        <v>236.73466195288304</v>
      </c>
      <c r="M609" s="666">
        <v>60</v>
      </c>
      <c r="N609" s="667">
        <f t="shared" si="68"/>
        <v>176.5575</v>
      </c>
      <c r="O609" s="668">
        <f t="shared" ca="1" si="67"/>
        <v>105</v>
      </c>
      <c r="P609" s="655">
        <f t="shared" ca="1" si="69"/>
        <v>-7945.0875000000015</v>
      </c>
      <c r="Q609" s="667">
        <f t="shared" ca="1" si="65"/>
        <v>1</v>
      </c>
      <c r="R609" s="669" t="s">
        <v>1202</v>
      </c>
    </row>
    <row r="610" spans="2:18" ht="50.1" customHeight="1" x14ac:dyDescent="0.25">
      <c r="B610" s="661">
        <v>42144</v>
      </c>
      <c r="C610" s="662" t="s">
        <v>2351</v>
      </c>
      <c r="D610" s="669" t="s">
        <v>1199</v>
      </c>
      <c r="E610" s="651" t="s">
        <v>1241</v>
      </c>
      <c r="F610" s="663" t="s">
        <v>1242</v>
      </c>
      <c r="G610" s="651" t="s">
        <v>28</v>
      </c>
      <c r="H610" s="651" t="s">
        <v>4421</v>
      </c>
      <c r="I610" s="651" t="s">
        <v>4422</v>
      </c>
      <c r="J610" s="674">
        <v>6332.18</v>
      </c>
      <c r="K610" s="674">
        <v>44.748199999999997</v>
      </c>
      <c r="L610" s="655">
        <f t="shared" si="66"/>
        <v>141.50692094877562</v>
      </c>
      <c r="M610" s="666">
        <v>60</v>
      </c>
      <c r="N610" s="667">
        <f t="shared" si="68"/>
        <v>105.53633333333333</v>
      </c>
      <c r="O610" s="668">
        <f t="shared" ca="1" si="67"/>
        <v>105</v>
      </c>
      <c r="P610" s="655">
        <f t="shared" ca="1" si="69"/>
        <v>-4749.1350000000002</v>
      </c>
      <c r="Q610" s="667">
        <f t="shared" ca="1" si="65"/>
        <v>1</v>
      </c>
      <c r="R610" s="669" t="s">
        <v>1202</v>
      </c>
    </row>
    <row r="611" spans="2:18" ht="50.1" customHeight="1" x14ac:dyDescent="0.25">
      <c r="B611" s="661">
        <v>42144</v>
      </c>
      <c r="C611" s="662" t="s">
        <v>2351</v>
      </c>
      <c r="D611" s="669" t="s">
        <v>1199</v>
      </c>
      <c r="E611" s="651" t="s">
        <v>1243</v>
      </c>
      <c r="F611" s="663" t="s">
        <v>1208</v>
      </c>
      <c r="G611" s="651" t="s">
        <v>28</v>
      </c>
      <c r="H611" s="651" t="s">
        <v>4421</v>
      </c>
      <c r="I611" s="651" t="s">
        <v>4422</v>
      </c>
      <c r="J611" s="674">
        <v>1223.6600000000001</v>
      </c>
      <c r="K611" s="674">
        <v>44.748199999999997</v>
      </c>
      <c r="L611" s="655">
        <f t="shared" si="66"/>
        <v>27.345457470915036</v>
      </c>
      <c r="M611" s="666">
        <v>60</v>
      </c>
      <c r="N611" s="667">
        <f t="shared" si="68"/>
        <v>20.394333333333336</v>
      </c>
      <c r="O611" s="668">
        <f t="shared" ca="1" si="67"/>
        <v>105</v>
      </c>
      <c r="P611" s="655">
        <f t="shared" ca="1" si="69"/>
        <v>-917.74500000000012</v>
      </c>
      <c r="Q611" s="667">
        <f t="shared" ca="1" si="65"/>
        <v>1</v>
      </c>
      <c r="R611" s="669" t="s">
        <v>1202</v>
      </c>
    </row>
    <row r="612" spans="2:18" ht="50.1" customHeight="1" x14ac:dyDescent="0.25">
      <c r="B612" s="661">
        <v>42144</v>
      </c>
      <c r="C612" s="662" t="s">
        <v>2351</v>
      </c>
      <c r="D612" s="669" t="s">
        <v>1199</v>
      </c>
      <c r="E612" s="651" t="s">
        <v>1244</v>
      </c>
      <c r="F612" s="663" t="s">
        <v>1208</v>
      </c>
      <c r="G612" s="651" t="s">
        <v>28</v>
      </c>
      <c r="H612" s="651" t="s">
        <v>4421</v>
      </c>
      <c r="I612" s="651" t="s">
        <v>4422</v>
      </c>
      <c r="J612" s="674">
        <v>1223.6600000000001</v>
      </c>
      <c r="K612" s="674">
        <v>44.748199999999997</v>
      </c>
      <c r="L612" s="655">
        <f t="shared" si="66"/>
        <v>27.345457470915036</v>
      </c>
      <c r="M612" s="666">
        <v>60</v>
      </c>
      <c r="N612" s="667">
        <f t="shared" si="68"/>
        <v>20.394333333333336</v>
      </c>
      <c r="O612" s="668">
        <f t="shared" ca="1" si="67"/>
        <v>105</v>
      </c>
      <c r="P612" s="655">
        <f t="shared" ca="1" si="69"/>
        <v>-917.74500000000012</v>
      </c>
      <c r="Q612" s="667">
        <f t="shared" ca="1" si="65"/>
        <v>1</v>
      </c>
      <c r="R612" s="669" t="s">
        <v>1202</v>
      </c>
    </row>
    <row r="613" spans="2:18" ht="50.1" customHeight="1" x14ac:dyDescent="0.25">
      <c r="B613" s="661">
        <v>42144</v>
      </c>
      <c r="C613" s="662" t="s">
        <v>2351</v>
      </c>
      <c r="D613" s="669" t="s">
        <v>1199</v>
      </c>
      <c r="E613" s="651" t="s">
        <v>1245</v>
      </c>
      <c r="F613" s="663" t="s">
        <v>1208</v>
      </c>
      <c r="G613" s="651" t="s">
        <v>28</v>
      </c>
      <c r="H613" s="651" t="s">
        <v>4421</v>
      </c>
      <c r="I613" s="651" t="s">
        <v>4422</v>
      </c>
      <c r="J613" s="674">
        <v>1223.6600000000001</v>
      </c>
      <c r="K613" s="674">
        <v>44.748199999999997</v>
      </c>
      <c r="L613" s="655">
        <f t="shared" si="66"/>
        <v>27.345457470915036</v>
      </c>
      <c r="M613" s="666">
        <v>60</v>
      </c>
      <c r="N613" s="667">
        <f t="shared" si="68"/>
        <v>20.394333333333336</v>
      </c>
      <c r="O613" s="668">
        <f t="shared" ca="1" si="67"/>
        <v>105</v>
      </c>
      <c r="P613" s="655">
        <f t="shared" ca="1" si="69"/>
        <v>-917.74500000000012</v>
      </c>
      <c r="Q613" s="667">
        <f t="shared" ca="1" si="65"/>
        <v>1</v>
      </c>
      <c r="R613" s="669" t="s">
        <v>1202</v>
      </c>
    </row>
    <row r="614" spans="2:18" ht="50.1" customHeight="1" x14ac:dyDescent="0.25">
      <c r="B614" s="661">
        <v>42144</v>
      </c>
      <c r="C614" s="662" t="s">
        <v>2351</v>
      </c>
      <c r="D614" s="669" t="s">
        <v>1199</v>
      </c>
      <c r="E614" s="651" t="s">
        <v>1246</v>
      </c>
      <c r="F614" s="663" t="s">
        <v>1208</v>
      </c>
      <c r="G614" s="651" t="s">
        <v>28</v>
      </c>
      <c r="H614" s="651" t="s">
        <v>4421</v>
      </c>
      <c r="I614" s="651" t="s">
        <v>4422</v>
      </c>
      <c r="J614" s="674">
        <v>1223.6600000000001</v>
      </c>
      <c r="K614" s="674">
        <v>44.748199999999997</v>
      </c>
      <c r="L614" s="655">
        <f t="shared" si="66"/>
        <v>27.345457470915036</v>
      </c>
      <c r="M614" s="666">
        <v>60</v>
      </c>
      <c r="N614" s="667">
        <f t="shared" si="68"/>
        <v>20.394333333333336</v>
      </c>
      <c r="O614" s="668">
        <f t="shared" ca="1" si="67"/>
        <v>105</v>
      </c>
      <c r="P614" s="655">
        <f t="shared" ca="1" si="69"/>
        <v>-917.74500000000012</v>
      </c>
      <c r="Q614" s="667">
        <f t="shared" ca="1" si="65"/>
        <v>1</v>
      </c>
      <c r="R614" s="669" t="s">
        <v>1202</v>
      </c>
    </row>
    <row r="615" spans="2:18" ht="50.1" customHeight="1" x14ac:dyDescent="0.25">
      <c r="B615" s="661">
        <v>42144</v>
      </c>
      <c r="C615" s="662" t="s">
        <v>2351</v>
      </c>
      <c r="D615" s="669" t="s">
        <v>1199</v>
      </c>
      <c r="E615" s="651" t="s">
        <v>1247</v>
      </c>
      <c r="F615" s="663" t="s">
        <v>1208</v>
      </c>
      <c r="G615" s="651" t="s">
        <v>28</v>
      </c>
      <c r="H615" s="651" t="s">
        <v>4421</v>
      </c>
      <c r="I615" s="651" t="s">
        <v>4422</v>
      </c>
      <c r="J615" s="674">
        <v>1223.6600000000001</v>
      </c>
      <c r="K615" s="674">
        <v>44.748199999999997</v>
      </c>
      <c r="L615" s="655">
        <f t="shared" si="66"/>
        <v>27.345457470915036</v>
      </c>
      <c r="M615" s="666">
        <v>60</v>
      </c>
      <c r="N615" s="667">
        <f t="shared" si="68"/>
        <v>20.394333333333336</v>
      </c>
      <c r="O615" s="668">
        <f t="shared" ca="1" si="67"/>
        <v>105</v>
      </c>
      <c r="P615" s="655">
        <f t="shared" ca="1" si="69"/>
        <v>-917.74500000000012</v>
      </c>
      <c r="Q615" s="667">
        <f t="shared" ca="1" si="65"/>
        <v>1</v>
      </c>
      <c r="R615" s="669" t="s">
        <v>1202</v>
      </c>
    </row>
    <row r="616" spans="2:18" ht="50.1" customHeight="1" x14ac:dyDescent="0.25">
      <c r="B616" s="661">
        <v>42144</v>
      </c>
      <c r="C616" s="662" t="s">
        <v>2351</v>
      </c>
      <c r="D616" s="669" t="s">
        <v>1199</v>
      </c>
      <c r="E616" s="651" t="s">
        <v>1248</v>
      </c>
      <c r="F616" s="663" t="s">
        <v>1208</v>
      </c>
      <c r="G616" s="651" t="s">
        <v>28</v>
      </c>
      <c r="H616" s="651" t="s">
        <v>4421</v>
      </c>
      <c r="I616" s="651" t="s">
        <v>4422</v>
      </c>
      <c r="J616" s="674">
        <v>1223.6600000000001</v>
      </c>
      <c r="K616" s="674">
        <v>44.748199999999997</v>
      </c>
      <c r="L616" s="655">
        <f t="shared" si="66"/>
        <v>27.345457470915036</v>
      </c>
      <c r="M616" s="666">
        <v>60</v>
      </c>
      <c r="N616" s="667">
        <f t="shared" si="68"/>
        <v>20.394333333333336</v>
      </c>
      <c r="O616" s="668">
        <f t="shared" ca="1" si="67"/>
        <v>105</v>
      </c>
      <c r="P616" s="655">
        <f t="shared" ca="1" si="69"/>
        <v>-917.74500000000012</v>
      </c>
      <c r="Q616" s="667">
        <f t="shared" ca="1" si="65"/>
        <v>1</v>
      </c>
      <c r="R616" s="669" t="s">
        <v>1202</v>
      </c>
    </row>
    <row r="617" spans="2:18" ht="50.1" customHeight="1" x14ac:dyDescent="0.25">
      <c r="B617" s="661">
        <v>42144</v>
      </c>
      <c r="C617" s="662" t="s">
        <v>2351</v>
      </c>
      <c r="D617" s="669" t="s">
        <v>1199</v>
      </c>
      <c r="E617" s="651" t="s">
        <v>1249</v>
      </c>
      <c r="F617" s="663" t="s">
        <v>1208</v>
      </c>
      <c r="G617" s="651" t="s">
        <v>28</v>
      </c>
      <c r="H617" s="651" t="s">
        <v>4421</v>
      </c>
      <c r="I617" s="651" t="s">
        <v>4422</v>
      </c>
      <c r="J617" s="674">
        <v>1223.6600000000001</v>
      </c>
      <c r="K617" s="674">
        <v>44.748199999999997</v>
      </c>
      <c r="L617" s="655">
        <f t="shared" si="66"/>
        <v>27.345457470915036</v>
      </c>
      <c r="M617" s="666">
        <v>60</v>
      </c>
      <c r="N617" s="667">
        <f t="shared" si="68"/>
        <v>20.394333333333336</v>
      </c>
      <c r="O617" s="668">
        <f t="shared" ca="1" si="67"/>
        <v>105</v>
      </c>
      <c r="P617" s="655">
        <f t="shared" ca="1" si="69"/>
        <v>-917.74500000000012</v>
      </c>
      <c r="Q617" s="667">
        <f t="shared" ca="1" si="65"/>
        <v>1</v>
      </c>
      <c r="R617" s="669" t="s">
        <v>1202</v>
      </c>
    </row>
    <row r="618" spans="2:18" ht="50.1" customHeight="1" x14ac:dyDescent="0.25">
      <c r="B618" s="661">
        <v>42144</v>
      </c>
      <c r="C618" s="662" t="s">
        <v>2351</v>
      </c>
      <c r="D618" s="669" t="s">
        <v>1199</v>
      </c>
      <c r="E618" s="651" t="s">
        <v>1250</v>
      </c>
      <c r="F618" s="663" t="s">
        <v>1208</v>
      </c>
      <c r="G618" s="651" t="s">
        <v>28</v>
      </c>
      <c r="H618" s="651" t="s">
        <v>4421</v>
      </c>
      <c r="I618" s="651" t="s">
        <v>4422</v>
      </c>
      <c r="J618" s="674">
        <v>1223.6600000000001</v>
      </c>
      <c r="K618" s="674">
        <v>44.748199999999997</v>
      </c>
      <c r="L618" s="655">
        <f t="shared" si="66"/>
        <v>27.345457470915036</v>
      </c>
      <c r="M618" s="666">
        <v>60</v>
      </c>
      <c r="N618" s="667">
        <f t="shared" si="68"/>
        <v>20.394333333333336</v>
      </c>
      <c r="O618" s="668">
        <f t="shared" ca="1" si="67"/>
        <v>105</v>
      </c>
      <c r="P618" s="655">
        <f t="shared" ca="1" si="69"/>
        <v>-917.74500000000012</v>
      </c>
      <c r="Q618" s="667">
        <f t="shared" ca="1" si="65"/>
        <v>1</v>
      </c>
      <c r="R618" s="669" t="s">
        <v>1202</v>
      </c>
    </row>
    <row r="619" spans="2:18" ht="50.1" customHeight="1" x14ac:dyDescent="0.25">
      <c r="B619" s="661">
        <v>42144</v>
      </c>
      <c r="C619" s="662" t="s">
        <v>2351</v>
      </c>
      <c r="D619" s="669" t="s">
        <v>1199</v>
      </c>
      <c r="E619" s="651" t="s">
        <v>1251</v>
      </c>
      <c r="F619" s="663" t="s">
        <v>1213</v>
      </c>
      <c r="G619" s="651" t="s">
        <v>28</v>
      </c>
      <c r="H619" s="651" t="s">
        <v>4421</v>
      </c>
      <c r="I619" s="651" t="s">
        <v>4422</v>
      </c>
      <c r="J619" s="674">
        <v>7174.4</v>
      </c>
      <c r="K619" s="674">
        <v>44.748199999999997</v>
      </c>
      <c r="L619" s="655">
        <f t="shared" si="66"/>
        <v>160.32823666650279</v>
      </c>
      <c r="M619" s="666">
        <v>60</v>
      </c>
      <c r="N619" s="667">
        <f t="shared" si="68"/>
        <v>119.57333333333332</v>
      </c>
      <c r="O619" s="668">
        <f t="shared" ca="1" si="67"/>
        <v>105</v>
      </c>
      <c r="P619" s="655">
        <f t="shared" ca="1" si="69"/>
        <v>-5380.7999999999993</v>
      </c>
      <c r="Q619" s="667">
        <f t="shared" ca="1" si="65"/>
        <v>1</v>
      </c>
      <c r="R619" s="669" t="s">
        <v>1202</v>
      </c>
    </row>
    <row r="620" spans="2:18" ht="50.1" customHeight="1" x14ac:dyDescent="0.25">
      <c r="B620" s="661">
        <v>42144</v>
      </c>
      <c r="C620" s="662" t="s">
        <v>2351</v>
      </c>
      <c r="D620" s="669" t="s">
        <v>1199</v>
      </c>
      <c r="E620" s="651" t="s">
        <v>1252</v>
      </c>
      <c r="F620" s="663" t="s">
        <v>424</v>
      </c>
      <c r="G620" s="651" t="s">
        <v>28</v>
      </c>
      <c r="H620" s="651" t="s">
        <v>4421</v>
      </c>
      <c r="I620" s="651" t="s">
        <v>4422</v>
      </c>
      <c r="J620" s="674">
        <v>3209.6</v>
      </c>
      <c r="K620" s="674">
        <v>44.748199999999997</v>
      </c>
      <c r="L620" s="655">
        <f t="shared" si="66"/>
        <v>71.72579008764599</v>
      </c>
      <c r="M620" s="666">
        <v>60</v>
      </c>
      <c r="N620" s="667">
        <f t="shared" si="68"/>
        <v>53.493333333333332</v>
      </c>
      <c r="O620" s="668">
        <f t="shared" ca="1" si="67"/>
        <v>105</v>
      </c>
      <c r="P620" s="655">
        <f t="shared" ca="1" si="69"/>
        <v>-2407.2000000000003</v>
      </c>
      <c r="Q620" s="667">
        <f t="shared" ca="1" si="65"/>
        <v>1</v>
      </c>
      <c r="R620" s="669" t="s">
        <v>1202</v>
      </c>
    </row>
    <row r="621" spans="2:18" ht="50.1" customHeight="1" x14ac:dyDescent="0.25">
      <c r="B621" s="661">
        <v>42150</v>
      </c>
      <c r="C621" s="662" t="s">
        <v>2351</v>
      </c>
      <c r="D621" s="669" t="s">
        <v>1253</v>
      </c>
      <c r="E621" s="651" t="s">
        <v>1254</v>
      </c>
      <c r="F621" s="663" t="s">
        <v>1255</v>
      </c>
      <c r="G621" s="675" t="s">
        <v>1256</v>
      </c>
      <c r="H621" s="651" t="s">
        <v>4421</v>
      </c>
      <c r="I621" s="651" t="s">
        <v>4422</v>
      </c>
      <c r="J621" s="674">
        <v>1648.46</v>
      </c>
      <c r="K621" s="674">
        <v>44.755400000000002</v>
      </c>
      <c r="L621" s="655">
        <f t="shared" si="66"/>
        <v>36.832650361744058</v>
      </c>
      <c r="M621" s="666">
        <v>60</v>
      </c>
      <c r="N621" s="667">
        <f t="shared" si="68"/>
        <v>27.474333333333334</v>
      </c>
      <c r="O621" s="668">
        <f t="shared" ca="1" si="67"/>
        <v>105</v>
      </c>
      <c r="P621" s="655">
        <f t="shared" ca="1" si="69"/>
        <v>-1236.3450000000003</v>
      </c>
      <c r="Q621" s="667">
        <f t="shared" ca="1" si="65"/>
        <v>1</v>
      </c>
      <c r="R621" s="669" t="s">
        <v>1257</v>
      </c>
    </row>
    <row r="622" spans="2:18" ht="50.1" customHeight="1" x14ac:dyDescent="0.25">
      <c r="B622" s="661">
        <v>42150</v>
      </c>
      <c r="C622" s="662" t="s">
        <v>2351</v>
      </c>
      <c r="D622" s="669" t="s">
        <v>1253</v>
      </c>
      <c r="E622" s="651" t="s">
        <v>1258</v>
      </c>
      <c r="F622" s="663" t="s">
        <v>1255</v>
      </c>
      <c r="G622" s="675" t="s">
        <v>1259</v>
      </c>
      <c r="H622" s="651" t="s">
        <v>4421</v>
      </c>
      <c r="I622" s="651" t="s">
        <v>4422</v>
      </c>
      <c r="J622" s="674">
        <v>1648.46</v>
      </c>
      <c r="K622" s="674">
        <v>44.755400000000002</v>
      </c>
      <c r="L622" s="655">
        <f t="shared" si="66"/>
        <v>36.832650361744058</v>
      </c>
      <c r="M622" s="666">
        <v>60</v>
      </c>
      <c r="N622" s="667">
        <f t="shared" si="68"/>
        <v>27.474333333333334</v>
      </c>
      <c r="O622" s="668">
        <f t="shared" ca="1" si="67"/>
        <v>105</v>
      </c>
      <c r="P622" s="655">
        <f t="shared" ca="1" si="69"/>
        <v>-1236.3450000000003</v>
      </c>
      <c r="Q622" s="667">
        <f t="shared" ca="1" si="65"/>
        <v>1</v>
      </c>
      <c r="R622" s="669" t="s">
        <v>1257</v>
      </c>
    </row>
    <row r="623" spans="2:18" ht="50.1" customHeight="1" x14ac:dyDescent="0.25">
      <c r="B623" s="661">
        <v>42150</v>
      </c>
      <c r="C623" s="662" t="s">
        <v>2351</v>
      </c>
      <c r="D623" s="669" t="s">
        <v>1260</v>
      </c>
      <c r="E623" s="651" t="s">
        <v>1261</v>
      </c>
      <c r="F623" s="663" t="s">
        <v>1262</v>
      </c>
      <c r="G623" s="651" t="s">
        <v>1263</v>
      </c>
      <c r="H623" s="651" t="s">
        <v>951</v>
      </c>
      <c r="I623" s="651" t="s">
        <v>19</v>
      </c>
      <c r="J623" s="674">
        <v>3858</v>
      </c>
      <c r="K623" s="674">
        <v>44.755400000000002</v>
      </c>
      <c r="L623" s="655">
        <f t="shared" si="66"/>
        <v>86.201888487199312</v>
      </c>
      <c r="M623" s="666">
        <v>60</v>
      </c>
      <c r="N623" s="667">
        <f t="shared" si="68"/>
        <v>64.3</v>
      </c>
      <c r="O623" s="668">
        <f t="shared" ca="1" si="67"/>
        <v>105</v>
      </c>
      <c r="P623" s="655">
        <f t="shared" ca="1" si="69"/>
        <v>-2893.5</v>
      </c>
      <c r="Q623" s="667">
        <f t="shared" ca="1" si="65"/>
        <v>1</v>
      </c>
      <c r="R623" s="669" t="s">
        <v>1183</v>
      </c>
    </row>
    <row r="624" spans="2:18" ht="39.950000000000003" customHeight="1" x14ac:dyDescent="0.25">
      <c r="B624" s="661">
        <v>42151</v>
      </c>
      <c r="C624" s="662" t="s">
        <v>2351</v>
      </c>
      <c r="D624" s="669" t="s">
        <v>1199</v>
      </c>
      <c r="E624" s="651" t="s">
        <v>1264</v>
      </c>
      <c r="F624" s="663" t="s">
        <v>1265</v>
      </c>
      <c r="G624" s="651" t="s">
        <v>1266</v>
      </c>
      <c r="H624" s="651" t="s">
        <v>1267</v>
      </c>
      <c r="I624" s="651" t="s">
        <v>19</v>
      </c>
      <c r="J624" s="674">
        <v>1168700</v>
      </c>
      <c r="K624" s="674">
        <v>44.748199999999997</v>
      </c>
      <c r="L624" s="655">
        <f t="shared" si="66"/>
        <v>26117.251643641535</v>
      </c>
      <c r="M624" s="666">
        <v>120</v>
      </c>
      <c r="N624" s="667">
        <f t="shared" si="68"/>
        <v>9739.1666666666661</v>
      </c>
      <c r="O624" s="668">
        <f t="shared" ca="1" si="67"/>
        <v>105</v>
      </c>
      <c r="P624" s="655">
        <f t="shared" ca="1" si="69"/>
        <v>146087.50000000012</v>
      </c>
      <c r="Q624" s="667">
        <f t="shared" ca="1" si="65"/>
        <v>146087.50000000012</v>
      </c>
      <c r="R624" s="669" t="s">
        <v>1202</v>
      </c>
    </row>
    <row r="625" spans="1:18" ht="60" customHeight="1" x14ac:dyDescent="0.25">
      <c r="A625" s="395"/>
      <c r="B625" s="661">
        <v>42151</v>
      </c>
      <c r="C625" s="662" t="s">
        <v>2351</v>
      </c>
      <c r="D625" s="669" t="s">
        <v>1199</v>
      </c>
      <c r="E625" s="651" t="s">
        <v>1268</v>
      </c>
      <c r="F625" s="663" t="s">
        <v>1269</v>
      </c>
      <c r="G625" s="651" t="s">
        <v>1270</v>
      </c>
      <c r="H625" s="651" t="s">
        <v>1271</v>
      </c>
      <c r="I625" s="651" t="s">
        <v>19</v>
      </c>
      <c r="J625" s="674">
        <v>1296750.5699999998</v>
      </c>
      <c r="K625" s="674">
        <v>44.748199999999997</v>
      </c>
      <c r="L625" s="655">
        <f t="shared" si="66"/>
        <v>28978.831997711637</v>
      </c>
      <c r="M625" s="666">
        <v>120</v>
      </c>
      <c r="N625" s="667">
        <f t="shared" si="68"/>
        <v>10806.254749999998</v>
      </c>
      <c r="O625" s="668">
        <f t="shared" ca="1" si="67"/>
        <v>105</v>
      </c>
      <c r="P625" s="655">
        <f t="shared" ca="1" si="69"/>
        <v>162093.82125000004</v>
      </c>
      <c r="Q625" s="667">
        <f t="shared" ca="1" si="65"/>
        <v>162093.82125000004</v>
      </c>
      <c r="R625" s="669" t="s">
        <v>1202</v>
      </c>
    </row>
    <row r="626" spans="1:18" ht="60" customHeight="1" x14ac:dyDescent="0.25">
      <c r="A626" s="395"/>
      <c r="B626" s="661">
        <v>42151</v>
      </c>
      <c r="C626" s="662" t="s">
        <v>2351</v>
      </c>
      <c r="D626" s="669" t="s">
        <v>1199</v>
      </c>
      <c r="E626" s="651" t="s">
        <v>1272</v>
      </c>
      <c r="F626" s="663" t="s">
        <v>1273</v>
      </c>
      <c r="G626" s="651" t="s">
        <v>1274</v>
      </c>
      <c r="H626" s="651" t="s">
        <v>743</v>
      </c>
      <c r="I626" s="651" t="s">
        <v>19</v>
      </c>
      <c r="J626" s="674">
        <v>1170680</v>
      </c>
      <c r="K626" s="674">
        <v>44.748199999999997</v>
      </c>
      <c r="L626" s="655">
        <f t="shared" si="66"/>
        <v>26161.499233488725</v>
      </c>
      <c r="M626" s="666">
        <v>120</v>
      </c>
      <c r="N626" s="667">
        <f t="shared" si="68"/>
        <v>9755.6666666666661</v>
      </c>
      <c r="O626" s="668">
        <f t="shared" ca="1" si="67"/>
        <v>105</v>
      </c>
      <c r="P626" s="655">
        <f t="shared" ca="1" si="69"/>
        <v>146335.00000000012</v>
      </c>
      <c r="Q626" s="667">
        <f t="shared" ca="1" si="65"/>
        <v>146335.00000000012</v>
      </c>
      <c r="R626" s="669" t="s">
        <v>1202</v>
      </c>
    </row>
    <row r="627" spans="1:18" ht="60" customHeight="1" x14ac:dyDescent="0.25">
      <c r="A627" s="395"/>
      <c r="B627" s="661">
        <v>42151</v>
      </c>
      <c r="C627" s="662" t="s">
        <v>2351</v>
      </c>
      <c r="D627" s="669" t="s">
        <v>1275</v>
      </c>
      <c r="E627" s="651" t="s">
        <v>1276</v>
      </c>
      <c r="F627" s="663" t="s">
        <v>1277</v>
      </c>
      <c r="G627" s="651" t="s">
        <v>1278</v>
      </c>
      <c r="H627" s="651" t="s">
        <v>23</v>
      </c>
      <c r="I627" s="651" t="s">
        <v>1194</v>
      </c>
      <c r="J627" s="674">
        <v>32022.556666666667</v>
      </c>
      <c r="K627" s="674">
        <v>44.778500000000001</v>
      </c>
      <c r="L627" s="655">
        <f t="shared" si="66"/>
        <v>715.13241101570327</v>
      </c>
      <c r="M627" s="683">
        <v>60</v>
      </c>
      <c r="N627" s="667">
        <f t="shared" si="68"/>
        <v>533.70927777777774</v>
      </c>
      <c r="O627" s="668">
        <f t="shared" ca="1" si="67"/>
        <v>105</v>
      </c>
      <c r="P627" s="655">
        <f t="shared" ca="1" si="69"/>
        <v>-24016.917499999992</v>
      </c>
      <c r="Q627" s="667">
        <f t="shared" ca="1" si="65"/>
        <v>1</v>
      </c>
      <c r="R627" s="669" t="s">
        <v>1279</v>
      </c>
    </row>
    <row r="628" spans="1:18" ht="39.950000000000003" customHeight="1" x14ac:dyDescent="0.25">
      <c r="B628" s="661">
        <v>42151</v>
      </c>
      <c r="C628" s="662" t="s">
        <v>2351</v>
      </c>
      <c r="D628" s="669" t="s">
        <v>1275</v>
      </c>
      <c r="E628" s="651" t="s">
        <v>1280</v>
      </c>
      <c r="F628" s="663" t="s">
        <v>1277</v>
      </c>
      <c r="G628" s="651" t="s">
        <v>1281</v>
      </c>
      <c r="H628" s="651" t="s">
        <v>23</v>
      </c>
      <c r="I628" s="651" t="s">
        <v>1194</v>
      </c>
      <c r="J628" s="674">
        <v>32022.556666666667</v>
      </c>
      <c r="K628" s="674">
        <v>44.778500000000001</v>
      </c>
      <c r="L628" s="655">
        <f t="shared" si="66"/>
        <v>715.13241101570327</v>
      </c>
      <c r="M628" s="666">
        <v>60</v>
      </c>
      <c r="N628" s="667">
        <f t="shared" si="68"/>
        <v>533.70927777777774</v>
      </c>
      <c r="O628" s="668">
        <f t="shared" ca="1" si="67"/>
        <v>105</v>
      </c>
      <c r="P628" s="655">
        <f t="shared" ca="1" si="69"/>
        <v>-24016.917499999992</v>
      </c>
      <c r="Q628" s="667">
        <f t="shared" ca="1" si="65"/>
        <v>1</v>
      </c>
      <c r="R628" s="669" t="s">
        <v>1279</v>
      </c>
    </row>
    <row r="629" spans="1:18" ht="39.950000000000003" customHeight="1" x14ac:dyDescent="0.25">
      <c r="B629" s="661">
        <v>42151</v>
      </c>
      <c r="C629" s="662" t="s">
        <v>2351</v>
      </c>
      <c r="D629" s="669" t="s">
        <v>1275</v>
      </c>
      <c r="E629" s="651" t="s">
        <v>1282</v>
      </c>
      <c r="F629" s="663" t="s">
        <v>1277</v>
      </c>
      <c r="G629" s="651" t="s">
        <v>1283</v>
      </c>
      <c r="H629" s="651" t="s">
        <v>23</v>
      </c>
      <c r="I629" s="651" t="s">
        <v>1194</v>
      </c>
      <c r="J629" s="674">
        <v>32022.556666666667</v>
      </c>
      <c r="K629" s="674">
        <v>44.778500000000001</v>
      </c>
      <c r="L629" s="655">
        <f t="shared" si="66"/>
        <v>715.13241101570327</v>
      </c>
      <c r="M629" s="666">
        <v>60</v>
      </c>
      <c r="N629" s="667">
        <f t="shared" si="68"/>
        <v>533.70927777777774</v>
      </c>
      <c r="O629" s="668">
        <f t="shared" ca="1" si="67"/>
        <v>105</v>
      </c>
      <c r="P629" s="655">
        <f t="shared" ca="1" si="69"/>
        <v>-24016.917499999992</v>
      </c>
      <c r="Q629" s="667">
        <f t="shared" ca="1" si="65"/>
        <v>1</v>
      </c>
      <c r="R629" s="669" t="s">
        <v>1279</v>
      </c>
    </row>
    <row r="630" spans="1:18" ht="39.950000000000003" customHeight="1" x14ac:dyDescent="0.25">
      <c r="B630" s="661">
        <v>42151</v>
      </c>
      <c r="C630" s="662" t="s">
        <v>2351</v>
      </c>
      <c r="D630" s="669" t="s">
        <v>1284</v>
      </c>
      <c r="E630" s="651" t="s">
        <v>1285</v>
      </c>
      <c r="F630" s="663" t="s">
        <v>1286</v>
      </c>
      <c r="G630" s="651" t="s">
        <v>1287</v>
      </c>
      <c r="H630" s="651" t="s">
        <v>23</v>
      </c>
      <c r="I630" s="651" t="s">
        <v>1194</v>
      </c>
      <c r="J630" s="674">
        <v>12749.99</v>
      </c>
      <c r="K630" s="674">
        <v>44.778500000000001</v>
      </c>
      <c r="L630" s="655">
        <f t="shared" si="66"/>
        <v>284.73463827506504</v>
      </c>
      <c r="M630" s="666">
        <v>60</v>
      </c>
      <c r="N630" s="667">
        <f t="shared" si="68"/>
        <v>212.49983333333333</v>
      </c>
      <c r="O630" s="668">
        <f t="shared" ca="1" si="67"/>
        <v>105</v>
      </c>
      <c r="P630" s="655">
        <f t="shared" ca="1" si="69"/>
        <v>-9562.4924999999985</v>
      </c>
      <c r="Q630" s="667">
        <f t="shared" ca="1" si="65"/>
        <v>1</v>
      </c>
      <c r="R630" s="669" t="s">
        <v>1288</v>
      </c>
    </row>
    <row r="631" spans="1:18" ht="39.950000000000003" customHeight="1" x14ac:dyDescent="0.25">
      <c r="B631" s="661">
        <v>42151</v>
      </c>
      <c r="C631" s="662" t="s">
        <v>2351</v>
      </c>
      <c r="D631" s="669" t="s">
        <v>1284</v>
      </c>
      <c r="E631" s="651" t="s">
        <v>1289</v>
      </c>
      <c r="F631" s="663" t="s">
        <v>1286</v>
      </c>
      <c r="G631" s="651" t="s">
        <v>1290</v>
      </c>
      <c r="H631" s="651" t="s">
        <v>4420</v>
      </c>
      <c r="I631" s="651" t="s">
        <v>1291</v>
      </c>
      <c r="J631" s="674">
        <v>12749.99</v>
      </c>
      <c r="K631" s="674">
        <v>44.778500000000001</v>
      </c>
      <c r="L631" s="655">
        <f t="shared" si="66"/>
        <v>284.73463827506504</v>
      </c>
      <c r="M631" s="666">
        <v>60</v>
      </c>
      <c r="N631" s="667">
        <f t="shared" si="68"/>
        <v>212.49983333333333</v>
      </c>
      <c r="O631" s="668">
        <f t="shared" ca="1" si="67"/>
        <v>105</v>
      </c>
      <c r="P631" s="655">
        <f t="shared" ca="1" si="69"/>
        <v>-9562.4924999999985</v>
      </c>
      <c r="Q631" s="667">
        <f t="shared" ca="1" si="65"/>
        <v>1</v>
      </c>
      <c r="R631" s="669" t="s">
        <v>1288</v>
      </c>
    </row>
    <row r="632" spans="1:18" ht="39.950000000000003" customHeight="1" x14ac:dyDescent="0.25">
      <c r="B632" s="661">
        <v>42151</v>
      </c>
      <c r="C632" s="662" t="s">
        <v>2351</v>
      </c>
      <c r="D632" s="669" t="s">
        <v>1284</v>
      </c>
      <c r="E632" s="651" t="s">
        <v>1292</v>
      </c>
      <c r="F632" s="663" t="s">
        <v>1286</v>
      </c>
      <c r="G632" s="651" t="s">
        <v>1293</v>
      </c>
      <c r="H632" s="651" t="s">
        <v>4420</v>
      </c>
      <c r="I632" s="651" t="s">
        <v>1294</v>
      </c>
      <c r="J632" s="674">
        <v>12749.99</v>
      </c>
      <c r="K632" s="674">
        <v>44.778500000000001</v>
      </c>
      <c r="L632" s="655">
        <f t="shared" si="66"/>
        <v>284.73463827506504</v>
      </c>
      <c r="M632" s="666">
        <v>60</v>
      </c>
      <c r="N632" s="667">
        <f t="shared" si="68"/>
        <v>212.49983333333333</v>
      </c>
      <c r="O632" s="668">
        <f t="shared" ca="1" si="67"/>
        <v>105</v>
      </c>
      <c r="P632" s="655">
        <f t="shared" ca="1" si="69"/>
        <v>-9562.4924999999985</v>
      </c>
      <c r="Q632" s="667">
        <f t="shared" ca="1" si="65"/>
        <v>1</v>
      </c>
      <c r="R632" s="669" t="s">
        <v>1288</v>
      </c>
    </row>
    <row r="633" spans="1:18" ht="39.950000000000003" customHeight="1" x14ac:dyDescent="0.25">
      <c r="B633" s="661">
        <v>42151</v>
      </c>
      <c r="C633" s="662" t="s">
        <v>2351</v>
      </c>
      <c r="D633" s="669" t="s">
        <v>1275</v>
      </c>
      <c r="E633" s="651" t="s">
        <v>1295</v>
      </c>
      <c r="F633" s="663" t="s">
        <v>1277</v>
      </c>
      <c r="G633" s="651" t="s">
        <v>1296</v>
      </c>
      <c r="H633" s="651" t="s">
        <v>4421</v>
      </c>
      <c r="I633" s="651" t="s">
        <v>4422</v>
      </c>
      <c r="J633" s="674">
        <v>32022.556666666667</v>
      </c>
      <c r="K633" s="674">
        <v>44.778500000000001</v>
      </c>
      <c r="L633" s="655">
        <f t="shared" si="66"/>
        <v>715.13241101570327</v>
      </c>
      <c r="M633" s="666">
        <v>60</v>
      </c>
      <c r="N633" s="667">
        <f t="shared" si="68"/>
        <v>533.70927777777774</v>
      </c>
      <c r="O633" s="668">
        <f t="shared" ca="1" si="67"/>
        <v>105</v>
      </c>
      <c r="P633" s="655">
        <f t="shared" ca="1" si="69"/>
        <v>-24016.917499999992</v>
      </c>
      <c r="Q633" s="667">
        <f t="shared" ca="1" si="65"/>
        <v>1</v>
      </c>
      <c r="R633" s="669" t="s">
        <v>1279</v>
      </c>
    </row>
    <row r="634" spans="1:18" ht="50.1" customHeight="1" x14ac:dyDescent="0.25">
      <c r="B634" s="661">
        <v>42151</v>
      </c>
      <c r="C634" s="662" t="s">
        <v>2351</v>
      </c>
      <c r="D634" s="669" t="s">
        <v>1275</v>
      </c>
      <c r="E634" s="651" t="s">
        <v>1297</v>
      </c>
      <c r="F634" s="663" t="s">
        <v>1277</v>
      </c>
      <c r="G634" s="651" t="s">
        <v>1298</v>
      </c>
      <c r="H634" s="651" t="s">
        <v>4421</v>
      </c>
      <c r="I634" s="651" t="s">
        <v>4422</v>
      </c>
      <c r="J634" s="674">
        <v>32022.556666666667</v>
      </c>
      <c r="K634" s="674">
        <v>44.778500000000001</v>
      </c>
      <c r="L634" s="655">
        <f t="shared" si="66"/>
        <v>715.13241101570327</v>
      </c>
      <c r="M634" s="666">
        <v>60</v>
      </c>
      <c r="N634" s="667">
        <f t="shared" si="68"/>
        <v>533.70927777777774</v>
      </c>
      <c r="O634" s="668">
        <f t="shared" ca="1" si="67"/>
        <v>105</v>
      </c>
      <c r="P634" s="655">
        <f t="shared" ca="1" si="69"/>
        <v>-24016.917499999992</v>
      </c>
      <c r="Q634" s="667">
        <f t="shared" ca="1" si="65"/>
        <v>1</v>
      </c>
      <c r="R634" s="669" t="s">
        <v>1279</v>
      </c>
    </row>
    <row r="635" spans="1:18" ht="50.1" customHeight="1" x14ac:dyDescent="0.25">
      <c r="B635" s="661">
        <v>42151</v>
      </c>
      <c r="C635" s="662" t="s">
        <v>2351</v>
      </c>
      <c r="D635" s="669" t="s">
        <v>1275</v>
      </c>
      <c r="E635" s="651" t="s">
        <v>1299</v>
      </c>
      <c r="F635" s="663" t="s">
        <v>1277</v>
      </c>
      <c r="G635" s="651" t="s">
        <v>1300</v>
      </c>
      <c r="H635" s="651" t="s">
        <v>4421</v>
      </c>
      <c r="I635" s="651" t="s">
        <v>4422</v>
      </c>
      <c r="J635" s="674">
        <v>32022.556666666667</v>
      </c>
      <c r="K635" s="674">
        <v>44.778500000000001</v>
      </c>
      <c r="L635" s="655">
        <f t="shared" si="66"/>
        <v>715.13241101570327</v>
      </c>
      <c r="M635" s="666">
        <v>60</v>
      </c>
      <c r="N635" s="667">
        <f t="shared" si="68"/>
        <v>533.70927777777774</v>
      </c>
      <c r="O635" s="668">
        <f t="shared" ca="1" si="67"/>
        <v>105</v>
      </c>
      <c r="P635" s="655">
        <f t="shared" ca="1" si="69"/>
        <v>-24016.917499999992</v>
      </c>
      <c r="Q635" s="667">
        <f t="shared" ca="1" si="65"/>
        <v>1</v>
      </c>
      <c r="R635" s="669" t="s">
        <v>1288</v>
      </c>
    </row>
    <row r="636" spans="1:18" ht="50.1" customHeight="1" x14ac:dyDescent="0.25">
      <c r="B636" s="661">
        <v>42151</v>
      </c>
      <c r="C636" s="662" t="s">
        <v>2351</v>
      </c>
      <c r="D636" s="669" t="s">
        <v>1284</v>
      </c>
      <c r="E636" s="651" t="s">
        <v>1301</v>
      </c>
      <c r="F636" s="663" t="s">
        <v>1286</v>
      </c>
      <c r="G636" s="651" t="s">
        <v>1302</v>
      </c>
      <c r="H636" s="651" t="s">
        <v>4421</v>
      </c>
      <c r="I636" s="651" t="s">
        <v>4422</v>
      </c>
      <c r="J636" s="674">
        <v>12749.99</v>
      </c>
      <c r="K636" s="674">
        <v>44.778500000000001</v>
      </c>
      <c r="L636" s="655">
        <f t="shared" si="66"/>
        <v>284.73463827506504</v>
      </c>
      <c r="M636" s="666">
        <v>120</v>
      </c>
      <c r="N636" s="667">
        <f t="shared" si="68"/>
        <v>106.24991666666666</v>
      </c>
      <c r="O636" s="668">
        <f t="shared" ca="1" si="67"/>
        <v>105</v>
      </c>
      <c r="P636" s="655">
        <f t="shared" ca="1" si="69"/>
        <v>1593.7487500000007</v>
      </c>
      <c r="Q636" s="667">
        <f t="shared" ca="1" si="65"/>
        <v>1593.7487500000007</v>
      </c>
      <c r="R636" s="669" t="s">
        <v>1288</v>
      </c>
    </row>
    <row r="637" spans="1:18" ht="50.1" customHeight="1" x14ac:dyDescent="0.25">
      <c r="B637" s="661">
        <v>42151</v>
      </c>
      <c r="C637" s="662" t="s">
        <v>2351</v>
      </c>
      <c r="D637" s="669" t="s">
        <v>1303</v>
      </c>
      <c r="E637" s="651" t="s">
        <v>1304</v>
      </c>
      <c r="F637" s="663" t="s">
        <v>1269</v>
      </c>
      <c r="G637" s="651" t="s">
        <v>1305</v>
      </c>
      <c r="H637" s="651" t="s">
        <v>4421</v>
      </c>
      <c r="I637" s="651" t="s">
        <v>1230</v>
      </c>
      <c r="J637" s="674">
        <v>1296749.7199999997</v>
      </c>
      <c r="K637" s="674">
        <v>44.778500000000001</v>
      </c>
      <c r="L637" s="655">
        <f t="shared" si="66"/>
        <v>28959.204082316282</v>
      </c>
      <c r="M637" s="666">
        <v>120</v>
      </c>
      <c r="N637" s="667">
        <f t="shared" si="68"/>
        <v>10806.247666666664</v>
      </c>
      <c r="O637" s="668">
        <f t="shared" ca="1" si="67"/>
        <v>105</v>
      </c>
      <c r="P637" s="655">
        <f t="shared" ca="1" si="69"/>
        <v>162093.71500000008</v>
      </c>
      <c r="Q637" s="667">
        <f t="shared" ca="1" si="65"/>
        <v>162093.71500000008</v>
      </c>
      <c r="R637" s="669" t="s">
        <v>1306</v>
      </c>
    </row>
    <row r="638" spans="1:18" ht="50.1" customHeight="1" x14ac:dyDescent="0.25">
      <c r="A638" s="395"/>
      <c r="B638" s="661">
        <v>42152</v>
      </c>
      <c r="C638" s="662" t="s">
        <v>2351</v>
      </c>
      <c r="D638" s="669" t="s">
        <v>1307</v>
      </c>
      <c r="E638" s="651" t="s">
        <v>1308</v>
      </c>
      <c r="F638" s="663" t="s">
        <v>1269</v>
      </c>
      <c r="G638" s="651" t="s">
        <v>1309</v>
      </c>
      <c r="H638" s="651" t="s">
        <v>520</v>
      </c>
      <c r="I638" s="651" t="s">
        <v>1310</v>
      </c>
      <c r="J638" s="674">
        <v>1296749.71</v>
      </c>
      <c r="K638" s="674">
        <v>44.807499999999997</v>
      </c>
      <c r="L638" s="655">
        <f t="shared" si="66"/>
        <v>28940.461083523965</v>
      </c>
      <c r="M638" s="666">
        <v>120</v>
      </c>
      <c r="N638" s="667">
        <f t="shared" si="68"/>
        <v>10806.247583333334</v>
      </c>
      <c r="O638" s="668">
        <f t="shared" ca="1" si="67"/>
        <v>105</v>
      </c>
      <c r="P638" s="655">
        <f t="shared" ca="1" si="69"/>
        <v>162093.71374999988</v>
      </c>
      <c r="Q638" s="667">
        <f t="shared" ca="1" si="65"/>
        <v>162093.71374999988</v>
      </c>
      <c r="R638" s="669" t="s">
        <v>1306</v>
      </c>
    </row>
    <row r="639" spans="1:18" ht="54.75" customHeight="1" x14ac:dyDescent="0.25">
      <c r="A639" s="395"/>
      <c r="B639" s="661">
        <v>42249</v>
      </c>
      <c r="C639" s="662" t="s">
        <v>2351</v>
      </c>
      <c r="D639" s="669" t="s">
        <v>1311</v>
      </c>
      <c r="E639" s="651" t="s">
        <v>1312</v>
      </c>
      <c r="F639" s="663" t="s">
        <v>1313</v>
      </c>
      <c r="G639" s="651" t="s">
        <v>1314</v>
      </c>
      <c r="H639" s="651" t="s">
        <v>1315</v>
      </c>
      <c r="I639" s="651" t="s">
        <v>19</v>
      </c>
      <c r="J639" s="684">
        <v>1474500</v>
      </c>
      <c r="K639" s="684">
        <v>45.0047</v>
      </c>
      <c r="L639" s="655">
        <f t="shared" si="66"/>
        <v>32763.244727772879</v>
      </c>
      <c r="M639" s="628">
        <v>120</v>
      </c>
      <c r="N639" s="667">
        <f t="shared" si="68"/>
        <v>12287.5</v>
      </c>
      <c r="O639" s="668">
        <f t="shared" ca="1" si="67"/>
        <v>102</v>
      </c>
      <c r="P639" s="655">
        <f t="shared" ca="1" si="69"/>
        <v>221175</v>
      </c>
      <c r="Q639" s="667">
        <f t="shared" ca="1" si="65"/>
        <v>221175</v>
      </c>
      <c r="R639" s="669" t="s">
        <v>1316</v>
      </c>
    </row>
    <row r="640" spans="1:18" ht="39.950000000000003" customHeight="1" x14ac:dyDescent="0.25">
      <c r="A640" s="395"/>
      <c r="B640" s="661">
        <v>42347</v>
      </c>
      <c r="C640" s="662" t="s">
        <v>2351</v>
      </c>
      <c r="D640" s="669" t="s">
        <v>1317</v>
      </c>
      <c r="E640" s="651" t="s">
        <v>1318</v>
      </c>
      <c r="F640" s="663" t="s">
        <v>1319</v>
      </c>
      <c r="G640" s="651" t="s">
        <v>28</v>
      </c>
      <c r="H640" s="651" t="s">
        <v>765</v>
      </c>
      <c r="I640" s="651" t="s">
        <v>19</v>
      </c>
      <c r="J640" s="684">
        <v>25960</v>
      </c>
      <c r="K640" s="684">
        <v>45.424700000000001</v>
      </c>
      <c r="L640" s="655">
        <f t="shared" si="66"/>
        <v>571.49524377706405</v>
      </c>
      <c r="M640" s="628">
        <v>60</v>
      </c>
      <c r="N640" s="667">
        <f t="shared" si="68"/>
        <v>432.66666666666669</v>
      </c>
      <c r="O640" s="668">
        <f t="shared" ca="1" si="67"/>
        <v>98</v>
      </c>
      <c r="P640" s="655">
        <f t="shared" ca="1" si="69"/>
        <v>-16441.333333333336</v>
      </c>
      <c r="Q640" s="667">
        <f t="shared" ca="1" si="65"/>
        <v>1</v>
      </c>
      <c r="R640" s="669" t="s">
        <v>1320</v>
      </c>
    </row>
    <row r="641" spans="2:18" ht="49.5" customHeight="1" x14ac:dyDescent="0.25">
      <c r="B641" s="661">
        <v>42359</v>
      </c>
      <c r="C641" s="662" t="s">
        <v>2351</v>
      </c>
      <c r="D641" s="669" t="s">
        <v>1321</v>
      </c>
      <c r="E641" s="651" t="s">
        <v>1322</v>
      </c>
      <c r="F641" s="663" t="s">
        <v>1323</v>
      </c>
      <c r="G641" s="651" t="s">
        <v>28</v>
      </c>
      <c r="H641" s="651" t="s">
        <v>765</v>
      </c>
      <c r="I641" s="651" t="s">
        <v>19</v>
      </c>
      <c r="J641" s="684">
        <v>16192.31</v>
      </c>
      <c r="K641" s="684">
        <v>45.481699999999996</v>
      </c>
      <c r="L641" s="655">
        <f t="shared" si="66"/>
        <v>356.01813476629064</v>
      </c>
      <c r="M641" s="628">
        <v>60</v>
      </c>
      <c r="N641" s="667">
        <f t="shared" si="68"/>
        <v>269.87183333333331</v>
      </c>
      <c r="O641" s="668">
        <f t="shared" ca="1" si="67"/>
        <v>98</v>
      </c>
      <c r="P641" s="655">
        <f t="shared" ca="1" si="69"/>
        <v>-10255.129666666666</v>
      </c>
      <c r="Q641" s="667">
        <f t="shared" ca="1" si="65"/>
        <v>1</v>
      </c>
      <c r="R641" s="669" t="s">
        <v>1202</v>
      </c>
    </row>
    <row r="642" spans="2:18" ht="39.950000000000003" customHeight="1" x14ac:dyDescent="0.25">
      <c r="B642" s="661">
        <v>42359</v>
      </c>
      <c r="C642" s="662" t="s">
        <v>2351</v>
      </c>
      <c r="D642" s="669" t="s">
        <v>1324</v>
      </c>
      <c r="E642" s="651" t="s">
        <v>1325</v>
      </c>
      <c r="F642" s="663" t="s">
        <v>1201</v>
      </c>
      <c r="G642" s="651" t="s">
        <v>28</v>
      </c>
      <c r="H642" s="651" t="s">
        <v>743</v>
      </c>
      <c r="I642" s="651" t="s">
        <v>19</v>
      </c>
      <c r="J642" s="684">
        <v>5146.45</v>
      </c>
      <c r="K642" s="684">
        <v>45.481699999999996</v>
      </c>
      <c r="L642" s="655">
        <f t="shared" si="66"/>
        <v>113.1543016202121</v>
      </c>
      <c r="M642" s="628">
        <v>60</v>
      </c>
      <c r="N642" s="667">
        <f t="shared" si="68"/>
        <v>85.774166666666659</v>
      </c>
      <c r="O642" s="668">
        <f t="shared" ca="1" si="67"/>
        <v>98</v>
      </c>
      <c r="P642" s="655">
        <f t="shared" ca="1" si="69"/>
        <v>-3259.4183333333322</v>
      </c>
      <c r="Q642" s="667">
        <f t="shared" ca="1" si="65"/>
        <v>1</v>
      </c>
      <c r="R642" s="669" t="s">
        <v>1202</v>
      </c>
    </row>
    <row r="643" spans="2:18" ht="57.75" customHeight="1" x14ac:dyDescent="0.25">
      <c r="B643" s="649">
        <v>42779</v>
      </c>
      <c r="C643" s="662" t="s">
        <v>2351</v>
      </c>
      <c r="D643" s="669" t="s">
        <v>1326</v>
      </c>
      <c r="E643" s="651" t="s">
        <v>1329</v>
      </c>
      <c r="F643" s="663" t="s">
        <v>1327</v>
      </c>
      <c r="G643" s="651" t="s">
        <v>1330</v>
      </c>
      <c r="H643" s="651" t="s">
        <v>23</v>
      </c>
      <c r="I643" s="651" t="s">
        <v>1331</v>
      </c>
      <c r="J643" s="684">
        <v>25915.25</v>
      </c>
      <c r="K643" s="684">
        <v>47.043599999999998</v>
      </c>
      <c r="L643" s="655">
        <f t="shared" si="66"/>
        <v>550.87727129726466</v>
      </c>
      <c r="M643" s="628">
        <v>60</v>
      </c>
      <c r="N643" s="667">
        <f t="shared" si="68"/>
        <v>431.92083333333335</v>
      </c>
      <c r="O643" s="668">
        <f t="shared" ca="1" si="67"/>
        <v>84</v>
      </c>
      <c r="P643" s="655">
        <f t="shared" ca="1" si="69"/>
        <v>-10366.099999999999</v>
      </c>
      <c r="Q643" s="667">
        <f t="shared" ca="1" si="65"/>
        <v>1</v>
      </c>
      <c r="R643" s="669" t="s">
        <v>1328</v>
      </c>
    </row>
    <row r="644" spans="2:18" ht="53.25" customHeight="1" x14ac:dyDescent="0.25">
      <c r="B644" s="649">
        <v>42779</v>
      </c>
      <c r="C644" s="662" t="s">
        <v>2351</v>
      </c>
      <c r="D644" s="669" t="s">
        <v>1326</v>
      </c>
      <c r="E644" s="651" t="s">
        <v>1332</v>
      </c>
      <c r="F644" s="663" t="s">
        <v>1327</v>
      </c>
      <c r="G644" s="651" t="s">
        <v>1333</v>
      </c>
      <c r="H644" s="651" t="s">
        <v>29</v>
      </c>
      <c r="I644" s="651" t="s">
        <v>1334</v>
      </c>
      <c r="J644" s="684">
        <v>25915.25</v>
      </c>
      <c r="K644" s="684">
        <v>47.043599999999998</v>
      </c>
      <c r="L644" s="655">
        <f t="shared" si="66"/>
        <v>550.87727129726466</v>
      </c>
      <c r="M644" s="628">
        <v>60</v>
      </c>
      <c r="N644" s="667">
        <f t="shared" si="68"/>
        <v>431.92083333333335</v>
      </c>
      <c r="O644" s="668">
        <f t="shared" ca="1" si="67"/>
        <v>84</v>
      </c>
      <c r="P644" s="655">
        <f t="shared" ca="1" si="69"/>
        <v>-10366.099999999999</v>
      </c>
      <c r="Q644" s="667">
        <f t="shared" ca="1" si="65"/>
        <v>1</v>
      </c>
      <c r="R644" s="669" t="s">
        <v>1328</v>
      </c>
    </row>
    <row r="645" spans="2:18" ht="53.25" customHeight="1" x14ac:dyDescent="0.25">
      <c r="B645" s="649">
        <v>42779</v>
      </c>
      <c r="C645" s="662" t="s">
        <v>2351</v>
      </c>
      <c r="D645" s="669" t="s">
        <v>1326</v>
      </c>
      <c r="E645" s="651" t="s">
        <v>1335</v>
      </c>
      <c r="F645" s="663" t="s">
        <v>1327</v>
      </c>
      <c r="G645" s="651" t="s">
        <v>1336</v>
      </c>
      <c r="H645" s="651" t="s">
        <v>318</v>
      </c>
      <c r="I645" s="651" t="s">
        <v>443</v>
      </c>
      <c r="J645" s="684">
        <v>25915.25</v>
      </c>
      <c r="K645" s="684">
        <v>47.043599999999998</v>
      </c>
      <c r="L645" s="655">
        <f t="shared" si="66"/>
        <v>550.87727129726466</v>
      </c>
      <c r="M645" s="628">
        <v>60</v>
      </c>
      <c r="N645" s="667">
        <f t="shared" si="68"/>
        <v>431.92083333333335</v>
      </c>
      <c r="O645" s="668">
        <f t="shared" ca="1" si="67"/>
        <v>84</v>
      </c>
      <c r="P645" s="655">
        <f t="shared" ca="1" si="69"/>
        <v>-10366.099999999999</v>
      </c>
      <c r="Q645" s="667">
        <f t="shared" ca="1" si="65"/>
        <v>1</v>
      </c>
      <c r="R645" s="669" t="s">
        <v>1328</v>
      </c>
    </row>
    <row r="646" spans="2:18" ht="39.950000000000003" customHeight="1" x14ac:dyDescent="0.25">
      <c r="B646" s="649">
        <v>42779</v>
      </c>
      <c r="C646" s="662" t="s">
        <v>2351</v>
      </c>
      <c r="D646" s="669" t="s">
        <v>1326</v>
      </c>
      <c r="E646" s="651" t="s">
        <v>1337</v>
      </c>
      <c r="F646" s="663" t="s">
        <v>1327</v>
      </c>
      <c r="G646" s="651" t="s">
        <v>1338</v>
      </c>
      <c r="H646" s="651" t="s">
        <v>23</v>
      </c>
      <c r="I646" s="651" t="s">
        <v>443</v>
      </c>
      <c r="J646" s="684">
        <v>25915.25</v>
      </c>
      <c r="K646" s="684">
        <v>47.043599999999998</v>
      </c>
      <c r="L646" s="655">
        <f t="shared" si="66"/>
        <v>550.87727129726466</v>
      </c>
      <c r="M646" s="628">
        <v>60</v>
      </c>
      <c r="N646" s="667">
        <f t="shared" si="68"/>
        <v>431.92083333333335</v>
      </c>
      <c r="O646" s="668">
        <f t="shared" ca="1" si="67"/>
        <v>84</v>
      </c>
      <c r="P646" s="655">
        <f t="shared" ca="1" si="69"/>
        <v>-10366.099999999999</v>
      </c>
      <c r="Q646" s="667">
        <f t="shared" ca="1" si="65"/>
        <v>1</v>
      </c>
      <c r="R646" s="669" t="s">
        <v>1328</v>
      </c>
    </row>
    <row r="647" spans="2:18" ht="48.75" customHeight="1" x14ac:dyDescent="0.25">
      <c r="B647" s="649">
        <v>42779</v>
      </c>
      <c r="C647" s="662" t="s">
        <v>2351</v>
      </c>
      <c r="D647" s="669" t="s">
        <v>1326</v>
      </c>
      <c r="E647" s="651" t="s">
        <v>1339</v>
      </c>
      <c r="F647" s="663" t="s">
        <v>1327</v>
      </c>
      <c r="G647" s="651" t="s">
        <v>1340</v>
      </c>
      <c r="H647" s="651" t="s">
        <v>1341</v>
      </c>
      <c r="I647" s="651" t="s">
        <v>1342</v>
      </c>
      <c r="J647" s="684">
        <v>25915.25</v>
      </c>
      <c r="K647" s="684">
        <v>47.043599999999998</v>
      </c>
      <c r="L647" s="655">
        <f t="shared" si="66"/>
        <v>550.87727129726466</v>
      </c>
      <c r="M647" s="628">
        <v>60</v>
      </c>
      <c r="N647" s="667">
        <f t="shared" si="68"/>
        <v>431.92083333333335</v>
      </c>
      <c r="O647" s="668">
        <f t="shared" ca="1" si="67"/>
        <v>84</v>
      </c>
      <c r="P647" s="655">
        <f t="shared" ca="1" si="69"/>
        <v>-10366.099999999999</v>
      </c>
      <c r="Q647" s="667">
        <f t="shared" ca="1" si="65"/>
        <v>1</v>
      </c>
      <c r="R647" s="669" t="s">
        <v>1328</v>
      </c>
    </row>
    <row r="648" spans="2:18" ht="52.5" customHeight="1" x14ac:dyDescent="0.25">
      <c r="B648" s="649">
        <v>42779</v>
      </c>
      <c r="C648" s="662" t="s">
        <v>2351</v>
      </c>
      <c r="D648" s="669" t="s">
        <v>1326</v>
      </c>
      <c r="E648" s="651" t="s">
        <v>1343</v>
      </c>
      <c r="F648" s="663" t="s">
        <v>1327</v>
      </c>
      <c r="G648" s="651" t="s">
        <v>1344</v>
      </c>
      <c r="H648" s="651" t="s">
        <v>1345</v>
      </c>
      <c r="I648" s="651" t="s">
        <v>1346</v>
      </c>
      <c r="J648" s="684">
        <v>25915.25</v>
      </c>
      <c r="K648" s="684">
        <v>47.043599999999998</v>
      </c>
      <c r="L648" s="655">
        <f t="shared" si="66"/>
        <v>550.87727129726466</v>
      </c>
      <c r="M648" s="628">
        <v>60</v>
      </c>
      <c r="N648" s="667">
        <f t="shared" si="68"/>
        <v>431.92083333333335</v>
      </c>
      <c r="O648" s="668">
        <f t="shared" ca="1" si="67"/>
        <v>84</v>
      </c>
      <c r="P648" s="655">
        <f t="shared" ca="1" si="69"/>
        <v>-10366.099999999999</v>
      </c>
      <c r="Q648" s="667">
        <f t="shared" ref="Q648:Q711" ca="1" si="70">IF(P648&lt;1,1,P648)</f>
        <v>1</v>
      </c>
      <c r="R648" s="669" t="s">
        <v>1328</v>
      </c>
    </row>
    <row r="649" spans="2:18" ht="53.25" customHeight="1" x14ac:dyDescent="0.25">
      <c r="B649" s="649">
        <v>42779</v>
      </c>
      <c r="C649" s="662" t="s">
        <v>2351</v>
      </c>
      <c r="D649" s="669" t="s">
        <v>1326</v>
      </c>
      <c r="E649" s="651" t="s">
        <v>1347</v>
      </c>
      <c r="F649" s="663" t="s">
        <v>1327</v>
      </c>
      <c r="G649" s="651" t="s">
        <v>1348</v>
      </c>
      <c r="H649" s="651" t="s">
        <v>1349</v>
      </c>
      <c r="I649" s="651" t="s">
        <v>1350</v>
      </c>
      <c r="J649" s="684">
        <v>25915.25</v>
      </c>
      <c r="K649" s="684">
        <v>47.043599999999998</v>
      </c>
      <c r="L649" s="655">
        <f t="shared" si="66"/>
        <v>550.87727129726466</v>
      </c>
      <c r="M649" s="628">
        <v>60</v>
      </c>
      <c r="N649" s="667">
        <f t="shared" si="68"/>
        <v>431.92083333333335</v>
      </c>
      <c r="O649" s="668">
        <f t="shared" ca="1" si="67"/>
        <v>84</v>
      </c>
      <c r="P649" s="655">
        <f t="shared" ca="1" si="69"/>
        <v>-10366.099999999999</v>
      </c>
      <c r="Q649" s="667">
        <f t="shared" ca="1" si="70"/>
        <v>1</v>
      </c>
      <c r="R649" s="669" t="s">
        <v>1328</v>
      </c>
    </row>
    <row r="650" spans="2:18" ht="39.950000000000003" customHeight="1" x14ac:dyDescent="0.25">
      <c r="B650" s="649">
        <v>42779</v>
      </c>
      <c r="C650" s="662" t="s">
        <v>2351</v>
      </c>
      <c r="D650" s="669" t="s">
        <v>1326</v>
      </c>
      <c r="E650" s="651" t="s">
        <v>1351</v>
      </c>
      <c r="F650" s="663" t="s">
        <v>1327</v>
      </c>
      <c r="G650" s="651" t="s">
        <v>1352</v>
      </c>
      <c r="H650" s="651" t="s">
        <v>23</v>
      </c>
      <c r="I650" s="651" t="s">
        <v>1353</v>
      </c>
      <c r="J650" s="684">
        <v>25915.25</v>
      </c>
      <c r="K650" s="684">
        <v>47.043599999999998</v>
      </c>
      <c r="L650" s="655">
        <f t="shared" si="66"/>
        <v>550.87727129726466</v>
      </c>
      <c r="M650" s="628">
        <v>60</v>
      </c>
      <c r="N650" s="667">
        <f t="shared" si="68"/>
        <v>431.92083333333335</v>
      </c>
      <c r="O650" s="668">
        <f t="shared" ca="1" si="67"/>
        <v>84</v>
      </c>
      <c r="P650" s="655">
        <f t="shared" ca="1" si="69"/>
        <v>-10366.099999999999</v>
      </c>
      <c r="Q650" s="667">
        <f t="shared" ca="1" si="70"/>
        <v>1</v>
      </c>
      <c r="R650" s="669" t="s">
        <v>1328</v>
      </c>
    </row>
    <row r="651" spans="2:18" ht="53.25" customHeight="1" x14ac:dyDescent="0.25">
      <c r="B651" s="649">
        <v>42779</v>
      </c>
      <c r="C651" s="662" t="s">
        <v>2351</v>
      </c>
      <c r="D651" s="669" t="s">
        <v>1326</v>
      </c>
      <c r="E651" s="651" t="s">
        <v>1354</v>
      </c>
      <c r="F651" s="663" t="s">
        <v>1327</v>
      </c>
      <c r="G651" s="651" t="s">
        <v>1355</v>
      </c>
      <c r="H651" s="651" t="s">
        <v>520</v>
      </c>
      <c r="I651" s="651" t="s">
        <v>1356</v>
      </c>
      <c r="J651" s="684">
        <v>25915.25</v>
      </c>
      <c r="K651" s="684">
        <v>47.043599999999998</v>
      </c>
      <c r="L651" s="655">
        <f t="shared" si="66"/>
        <v>550.87727129726466</v>
      </c>
      <c r="M651" s="628">
        <v>60</v>
      </c>
      <c r="N651" s="667">
        <f t="shared" si="68"/>
        <v>431.92083333333335</v>
      </c>
      <c r="O651" s="668">
        <f t="shared" ca="1" si="67"/>
        <v>84</v>
      </c>
      <c r="P651" s="655">
        <f t="shared" ca="1" si="69"/>
        <v>-10366.099999999999</v>
      </c>
      <c r="Q651" s="667">
        <f t="shared" ca="1" si="70"/>
        <v>1</v>
      </c>
      <c r="R651" s="669" t="s">
        <v>1328</v>
      </c>
    </row>
    <row r="652" spans="2:18" ht="49.5" customHeight="1" x14ac:dyDescent="0.25">
      <c r="B652" s="649">
        <v>42779</v>
      </c>
      <c r="C652" s="662" t="s">
        <v>2351</v>
      </c>
      <c r="D652" s="669" t="s">
        <v>1326</v>
      </c>
      <c r="E652" s="651" t="s">
        <v>1357</v>
      </c>
      <c r="F652" s="663" t="s">
        <v>1327</v>
      </c>
      <c r="G652" s="651" t="s">
        <v>18</v>
      </c>
      <c r="H652" s="651" t="s">
        <v>1358</v>
      </c>
      <c r="I652" s="651" t="s">
        <v>1359</v>
      </c>
      <c r="J652" s="684">
        <v>25915.25</v>
      </c>
      <c r="K652" s="684">
        <v>47.043599999999998</v>
      </c>
      <c r="L652" s="655">
        <f t="shared" si="66"/>
        <v>550.87727129726466</v>
      </c>
      <c r="M652" s="628">
        <v>60</v>
      </c>
      <c r="N652" s="667">
        <f t="shared" si="68"/>
        <v>431.92083333333335</v>
      </c>
      <c r="O652" s="668">
        <f t="shared" ca="1" si="67"/>
        <v>84</v>
      </c>
      <c r="P652" s="655">
        <f t="shared" ca="1" si="69"/>
        <v>-10366.099999999999</v>
      </c>
      <c r="Q652" s="667">
        <f t="shared" ca="1" si="70"/>
        <v>1</v>
      </c>
      <c r="R652" s="669" t="s">
        <v>1328</v>
      </c>
    </row>
    <row r="653" spans="2:18" ht="50.25" customHeight="1" x14ac:dyDescent="0.25">
      <c r="B653" s="649">
        <v>42796</v>
      </c>
      <c r="C653" s="662" t="s">
        <v>2351</v>
      </c>
      <c r="D653" s="669" t="s">
        <v>1360</v>
      </c>
      <c r="E653" s="651" t="s">
        <v>1361</v>
      </c>
      <c r="F653" s="663" t="s">
        <v>1362</v>
      </c>
      <c r="G653" s="651" t="s">
        <v>1363</v>
      </c>
      <c r="H653" s="673" t="s">
        <v>1364</v>
      </c>
      <c r="I653" s="651" t="s">
        <v>1365</v>
      </c>
      <c r="J653" s="684">
        <v>25915.25</v>
      </c>
      <c r="K653" s="684">
        <v>47.139099999999999</v>
      </c>
      <c r="L653" s="655">
        <f t="shared" si="66"/>
        <v>549.76123854719333</v>
      </c>
      <c r="M653" s="628">
        <v>60</v>
      </c>
      <c r="N653" s="667">
        <f t="shared" si="68"/>
        <v>431.92083333333335</v>
      </c>
      <c r="O653" s="668">
        <f t="shared" ca="1" si="67"/>
        <v>84</v>
      </c>
      <c r="P653" s="655">
        <f t="shared" ca="1" si="69"/>
        <v>-10366.099999999999</v>
      </c>
      <c r="Q653" s="667">
        <f t="shared" ca="1" si="70"/>
        <v>1</v>
      </c>
      <c r="R653" s="669" t="s">
        <v>1328</v>
      </c>
    </row>
    <row r="654" spans="2:18" ht="39.950000000000003" customHeight="1" x14ac:dyDescent="0.25">
      <c r="B654" s="649">
        <v>42796</v>
      </c>
      <c r="C654" s="662" t="s">
        <v>2351</v>
      </c>
      <c r="D654" s="669" t="s">
        <v>1360</v>
      </c>
      <c r="E654" s="651" t="s">
        <v>1366</v>
      </c>
      <c r="F654" s="663" t="s">
        <v>1362</v>
      </c>
      <c r="G654" s="651" t="s">
        <v>1367</v>
      </c>
      <c r="H654" s="651" t="s">
        <v>4420</v>
      </c>
      <c r="I654" s="651" t="s">
        <v>1294</v>
      </c>
      <c r="J654" s="684">
        <v>25915.25</v>
      </c>
      <c r="K654" s="684">
        <v>47.139099999999999</v>
      </c>
      <c r="L654" s="655">
        <f t="shared" si="66"/>
        <v>549.76123854719333</v>
      </c>
      <c r="M654" s="628">
        <v>60</v>
      </c>
      <c r="N654" s="667">
        <f t="shared" si="68"/>
        <v>431.92083333333335</v>
      </c>
      <c r="O654" s="668">
        <f t="shared" ca="1" si="67"/>
        <v>84</v>
      </c>
      <c r="P654" s="655">
        <f t="shared" ca="1" si="69"/>
        <v>-10366.099999999999</v>
      </c>
      <c r="Q654" s="667">
        <f t="shared" ca="1" si="70"/>
        <v>1</v>
      </c>
      <c r="R654" s="669" t="s">
        <v>1328</v>
      </c>
    </row>
    <row r="655" spans="2:18" ht="55.5" customHeight="1" x14ac:dyDescent="0.25">
      <c r="B655" s="649">
        <v>42796</v>
      </c>
      <c r="C655" s="662" t="s">
        <v>2351</v>
      </c>
      <c r="D655" s="669" t="s">
        <v>1360</v>
      </c>
      <c r="E655" s="651" t="s">
        <v>1368</v>
      </c>
      <c r="F655" s="663" t="s">
        <v>1362</v>
      </c>
      <c r="G655" s="651" t="s">
        <v>1369</v>
      </c>
      <c r="H655" s="673" t="s">
        <v>1370</v>
      </c>
      <c r="I655" s="651" t="s">
        <v>1371</v>
      </c>
      <c r="J655" s="684">
        <v>25915.25</v>
      </c>
      <c r="K655" s="684">
        <v>47.139099999999999</v>
      </c>
      <c r="L655" s="655">
        <f t="shared" si="66"/>
        <v>549.76123854719333</v>
      </c>
      <c r="M655" s="628">
        <v>60</v>
      </c>
      <c r="N655" s="667">
        <f t="shared" si="68"/>
        <v>431.92083333333335</v>
      </c>
      <c r="O655" s="668">
        <f t="shared" ca="1" si="67"/>
        <v>84</v>
      </c>
      <c r="P655" s="655">
        <f t="shared" ca="1" si="69"/>
        <v>-10366.099999999999</v>
      </c>
      <c r="Q655" s="667">
        <f t="shared" ca="1" si="70"/>
        <v>1</v>
      </c>
      <c r="R655" s="669" t="s">
        <v>1328</v>
      </c>
    </row>
    <row r="656" spans="2:18" ht="54" customHeight="1" x14ac:dyDescent="0.25">
      <c r="B656" s="649">
        <v>42796</v>
      </c>
      <c r="C656" s="662" t="s">
        <v>2351</v>
      </c>
      <c r="D656" s="669" t="s">
        <v>1360</v>
      </c>
      <c r="E656" s="651" t="s">
        <v>1372</v>
      </c>
      <c r="F656" s="663" t="s">
        <v>1362</v>
      </c>
      <c r="G656" s="651" t="s">
        <v>1373</v>
      </c>
      <c r="H656" s="651" t="s">
        <v>213</v>
      </c>
      <c r="I656" s="651" t="s">
        <v>214</v>
      </c>
      <c r="J656" s="684">
        <v>25915.25</v>
      </c>
      <c r="K656" s="684">
        <v>47.139099999999999</v>
      </c>
      <c r="L656" s="655">
        <f t="shared" si="66"/>
        <v>549.76123854719333</v>
      </c>
      <c r="M656" s="628">
        <v>60</v>
      </c>
      <c r="N656" s="667">
        <f t="shared" si="68"/>
        <v>431.92083333333335</v>
      </c>
      <c r="O656" s="668">
        <f t="shared" ca="1" si="67"/>
        <v>84</v>
      </c>
      <c r="P656" s="655">
        <f t="shared" ca="1" si="69"/>
        <v>-10366.099999999999</v>
      </c>
      <c r="Q656" s="667">
        <f t="shared" ca="1" si="70"/>
        <v>1</v>
      </c>
      <c r="R656" s="669" t="s">
        <v>1328</v>
      </c>
    </row>
    <row r="657" spans="2:18" ht="51.75" customHeight="1" x14ac:dyDescent="0.25">
      <c r="B657" s="649">
        <v>42796</v>
      </c>
      <c r="C657" s="662" t="s">
        <v>2351</v>
      </c>
      <c r="D657" s="669" t="s">
        <v>1360</v>
      </c>
      <c r="E657" s="651" t="s">
        <v>1374</v>
      </c>
      <c r="F657" s="663" t="s">
        <v>1362</v>
      </c>
      <c r="G657" s="651" t="s">
        <v>1375</v>
      </c>
      <c r="H657" s="651" t="s">
        <v>23</v>
      </c>
      <c r="I657" s="651" t="s">
        <v>216</v>
      </c>
      <c r="J657" s="684">
        <v>25915.25</v>
      </c>
      <c r="K657" s="684">
        <v>47.139099999999999</v>
      </c>
      <c r="L657" s="655">
        <f t="shared" si="66"/>
        <v>549.76123854719333</v>
      </c>
      <c r="M657" s="628">
        <v>60</v>
      </c>
      <c r="N657" s="667">
        <f t="shared" si="68"/>
        <v>431.92083333333335</v>
      </c>
      <c r="O657" s="668">
        <f t="shared" ca="1" si="67"/>
        <v>84</v>
      </c>
      <c r="P657" s="655">
        <f t="shared" ca="1" si="69"/>
        <v>-10366.099999999999</v>
      </c>
      <c r="Q657" s="667">
        <f t="shared" ca="1" si="70"/>
        <v>1</v>
      </c>
      <c r="R657" s="669" t="s">
        <v>1328</v>
      </c>
    </row>
    <row r="658" spans="2:18" ht="48" customHeight="1" x14ac:dyDescent="0.25">
      <c r="B658" s="649">
        <v>42796</v>
      </c>
      <c r="C658" s="662" t="s">
        <v>2351</v>
      </c>
      <c r="D658" s="669" t="s">
        <v>1360</v>
      </c>
      <c r="E658" s="651" t="s">
        <v>1376</v>
      </c>
      <c r="F658" s="663" t="s">
        <v>1362</v>
      </c>
      <c r="G658" s="651" t="s">
        <v>18</v>
      </c>
      <c r="H658" s="651" t="s">
        <v>513</v>
      </c>
      <c r="I658" s="651" t="s">
        <v>1377</v>
      </c>
      <c r="J658" s="684">
        <v>25915.25</v>
      </c>
      <c r="K658" s="684">
        <v>47.139099999999999</v>
      </c>
      <c r="L658" s="655">
        <f t="shared" ref="L658:L736" si="71">+J658/K658</f>
        <v>549.76123854719333</v>
      </c>
      <c r="M658" s="628">
        <v>60</v>
      </c>
      <c r="N658" s="667">
        <f t="shared" ref="N658:N721" si="72">IF(AND(J658&lt;&gt;0,M658&lt;&gt;0),J658/M658,0)</f>
        <v>431.92083333333335</v>
      </c>
      <c r="O658" s="668">
        <f t="shared" ref="O658:O719" ca="1" si="73">IF(B658&lt;&gt;0,(ROUND((NOW()-B658)/30,0)),0)</f>
        <v>84</v>
      </c>
      <c r="P658" s="655">
        <f t="shared" ref="P658:P720" ca="1" si="74">IF(OR(J658=0,M658=0,O658=0),0,J658-(N658*O658))</f>
        <v>-10366.099999999999</v>
      </c>
      <c r="Q658" s="667">
        <f t="shared" ca="1" si="70"/>
        <v>1</v>
      </c>
      <c r="R658" s="669" t="s">
        <v>1328</v>
      </c>
    </row>
    <row r="659" spans="2:18" ht="49.5" customHeight="1" x14ac:dyDescent="0.25">
      <c r="B659" s="649">
        <v>42796</v>
      </c>
      <c r="C659" s="662" t="s">
        <v>2351</v>
      </c>
      <c r="D659" s="669" t="s">
        <v>1360</v>
      </c>
      <c r="E659" s="651" t="s">
        <v>1378</v>
      </c>
      <c r="F659" s="663" t="s">
        <v>1362</v>
      </c>
      <c r="G659" s="651" t="s">
        <v>18</v>
      </c>
      <c r="H659" s="673" t="s">
        <v>318</v>
      </c>
      <c r="I659" s="651" t="s">
        <v>1379</v>
      </c>
      <c r="J659" s="684">
        <v>25915.25</v>
      </c>
      <c r="K659" s="684">
        <v>47.139099999999999</v>
      </c>
      <c r="L659" s="655">
        <f t="shared" si="71"/>
        <v>549.76123854719333</v>
      </c>
      <c r="M659" s="628">
        <v>60</v>
      </c>
      <c r="N659" s="667">
        <f t="shared" si="72"/>
        <v>431.92083333333335</v>
      </c>
      <c r="O659" s="668">
        <f t="shared" ca="1" si="73"/>
        <v>84</v>
      </c>
      <c r="P659" s="655">
        <f t="shared" ca="1" si="74"/>
        <v>-10366.099999999999</v>
      </c>
      <c r="Q659" s="667">
        <f t="shared" ca="1" si="70"/>
        <v>1</v>
      </c>
      <c r="R659" s="669" t="s">
        <v>1328</v>
      </c>
    </row>
    <row r="660" spans="2:18" ht="53.25" customHeight="1" x14ac:dyDescent="0.25">
      <c r="B660" s="649">
        <v>42796</v>
      </c>
      <c r="C660" s="662" t="s">
        <v>2351</v>
      </c>
      <c r="D660" s="669" t="s">
        <v>1360</v>
      </c>
      <c r="E660" s="651" t="s">
        <v>1380</v>
      </c>
      <c r="F660" s="663" t="s">
        <v>1362</v>
      </c>
      <c r="G660" s="651" t="s">
        <v>18</v>
      </c>
      <c r="H660" s="651" t="s">
        <v>1381</v>
      </c>
      <c r="I660" s="651" t="s">
        <v>1382</v>
      </c>
      <c r="J660" s="684">
        <v>25915.25</v>
      </c>
      <c r="K660" s="684">
        <v>47.139099999999999</v>
      </c>
      <c r="L660" s="655">
        <f t="shared" si="71"/>
        <v>549.76123854719333</v>
      </c>
      <c r="M660" s="628">
        <v>60</v>
      </c>
      <c r="N660" s="667">
        <f t="shared" si="72"/>
        <v>431.92083333333335</v>
      </c>
      <c r="O660" s="668">
        <f t="shared" ca="1" si="73"/>
        <v>84</v>
      </c>
      <c r="P660" s="655">
        <f t="shared" ca="1" si="74"/>
        <v>-10366.099999999999</v>
      </c>
      <c r="Q660" s="667">
        <f t="shared" ca="1" si="70"/>
        <v>1</v>
      </c>
      <c r="R660" s="669" t="s">
        <v>1328</v>
      </c>
    </row>
    <row r="661" spans="2:18" ht="56.25" customHeight="1" x14ac:dyDescent="0.25">
      <c r="B661" s="649">
        <v>42998</v>
      </c>
      <c r="C661" s="662" t="s">
        <v>2351</v>
      </c>
      <c r="D661" s="669" t="s">
        <v>1383</v>
      </c>
      <c r="E661" s="651" t="s">
        <v>1384</v>
      </c>
      <c r="F661" s="663" t="s">
        <v>1385</v>
      </c>
      <c r="G661" s="651" t="s">
        <v>1386</v>
      </c>
      <c r="H661" s="651" t="s">
        <v>4434</v>
      </c>
      <c r="I661" s="651" t="s">
        <v>19</v>
      </c>
      <c r="J661" s="684">
        <v>113697.72</v>
      </c>
      <c r="K661" s="684">
        <v>47.651600000000002</v>
      </c>
      <c r="L661" s="655">
        <f t="shared" si="71"/>
        <v>2386.0210360197766</v>
      </c>
      <c r="M661" s="628">
        <v>60</v>
      </c>
      <c r="N661" s="667">
        <f t="shared" si="72"/>
        <v>1894.962</v>
      </c>
      <c r="O661" s="668">
        <f t="shared" ca="1" si="73"/>
        <v>77</v>
      </c>
      <c r="P661" s="655">
        <f t="shared" ca="1" si="74"/>
        <v>-32214.353999999992</v>
      </c>
      <c r="Q661" s="667">
        <f t="shared" ca="1" si="70"/>
        <v>1</v>
      </c>
      <c r="R661" s="669" t="s">
        <v>1328</v>
      </c>
    </row>
    <row r="662" spans="2:18" ht="39.950000000000003" customHeight="1" x14ac:dyDescent="0.25">
      <c r="B662" s="649">
        <v>42998</v>
      </c>
      <c r="C662" s="662" t="s">
        <v>2351</v>
      </c>
      <c r="D662" s="669" t="s">
        <v>1383</v>
      </c>
      <c r="E662" s="651" t="s">
        <v>1387</v>
      </c>
      <c r="F662" s="663" t="s">
        <v>1388</v>
      </c>
      <c r="G662" s="651" t="s">
        <v>1389</v>
      </c>
      <c r="H662" s="651" t="s">
        <v>1390</v>
      </c>
      <c r="I662" s="651" t="s">
        <v>19</v>
      </c>
      <c r="J662" s="684">
        <v>54597.42</v>
      </c>
      <c r="K662" s="684">
        <v>47.651600000000002</v>
      </c>
      <c r="L662" s="655">
        <f t="shared" si="71"/>
        <v>1145.7625767025661</v>
      </c>
      <c r="M662" s="628">
        <v>60</v>
      </c>
      <c r="N662" s="667">
        <f t="shared" si="72"/>
        <v>909.95699999999999</v>
      </c>
      <c r="O662" s="668">
        <f t="shared" ca="1" si="73"/>
        <v>77</v>
      </c>
      <c r="P662" s="655">
        <f t="shared" ca="1" si="74"/>
        <v>-15469.269</v>
      </c>
      <c r="Q662" s="667">
        <f t="shared" ca="1" si="70"/>
        <v>1</v>
      </c>
      <c r="R662" s="669" t="s">
        <v>1328</v>
      </c>
    </row>
    <row r="663" spans="2:18" ht="39.950000000000003" customHeight="1" x14ac:dyDescent="0.25">
      <c r="B663" s="649">
        <v>42998</v>
      </c>
      <c r="C663" s="662" t="s">
        <v>2351</v>
      </c>
      <c r="D663" s="669" t="s">
        <v>1383</v>
      </c>
      <c r="E663" s="651" t="s">
        <v>1391</v>
      </c>
      <c r="F663" s="663" t="s">
        <v>1388</v>
      </c>
      <c r="G663" s="651" t="s">
        <v>1392</v>
      </c>
      <c r="H663" s="651" t="s">
        <v>1393</v>
      </c>
      <c r="I663" s="651" t="s">
        <v>19</v>
      </c>
      <c r="J663" s="684">
        <v>54597.42</v>
      </c>
      <c r="K663" s="684">
        <v>47.651600000000002</v>
      </c>
      <c r="L663" s="655">
        <f t="shared" si="71"/>
        <v>1145.7625767025661</v>
      </c>
      <c r="M663" s="628">
        <v>60</v>
      </c>
      <c r="N663" s="667">
        <f t="shared" si="72"/>
        <v>909.95699999999999</v>
      </c>
      <c r="O663" s="668">
        <f t="shared" ca="1" si="73"/>
        <v>77</v>
      </c>
      <c r="P663" s="655">
        <f t="shared" ca="1" si="74"/>
        <v>-15469.269</v>
      </c>
      <c r="Q663" s="667">
        <f t="shared" ca="1" si="70"/>
        <v>1</v>
      </c>
      <c r="R663" s="669" t="s">
        <v>1328</v>
      </c>
    </row>
    <row r="664" spans="2:18" ht="39.950000000000003" customHeight="1" x14ac:dyDescent="0.25">
      <c r="B664" s="649">
        <v>42998</v>
      </c>
      <c r="C664" s="662" t="s">
        <v>2351</v>
      </c>
      <c r="D664" s="669" t="s">
        <v>1383</v>
      </c>
      <c r="E664" s="651" t="s">
        <v>1394</v>
      </c>
      <c r="F664" s="663" t="s">
        <v>1388</v>
      </c>
      <c r="G664" s="651" t="s">
        <v>1395</v>
      </c>
      <c r="H664" s="651" t="s">
        <v>1396</v>
      </c>
      <c r="I664" s="651" t="s">
        <v>19</v>
      </c>
      <c r="J664" s="684">
        <v>54597.42</v>
      </c>
      <c r="K664" s="684">
        <v>47.651600000000002</v>
      </c>
      <c r="L664" s="655">
        <f t="shared" si="71"/>
        <v>1145.7625767025661</v>
      </c>
      <c r="M664" s="628">
        <v>60</v>
      </c>
      <c r="N664" s="667">
        <f t="shared" si="72"/>
        <v>909.95699999999999</v>
      </c>
      <c r="O664" s="668">
        <f t="shared" ca="1" si="73"/>
        <v>77</v>
      </c>
      <c r="P664" s="655">
        <f t="shared" ca="1" si="74"/>
        <v>-15469.269</v>
      </c>
      <c r="Q664" s="667">
        <f t="shared" ca="1" si="70"/>
        <v>1</v>
      </c>
      <c r="R664" s="669" t="s">
        <v>1328</v>
      </c>
    </row>
    <row r="665" spans="2:18" ht="39.950000000000003" customHeight="1" x14ac:dyDescent="0.25">
      <c r="B665" s="649">
        <v>43020</v>
      </c>
      <c r="C665" s="662" t="s">
        <v>2351</v>
      </c>
      <c r="D665" s="669" t="s">
        <v>1397</v>
      </c>
      <c r="E665" s="651" t="s">
        <v>1398</v>
      </c>
      <c r="F665" s="663" t="s">
        <v>1388</v>
      </c>
      <c r="G665" s="651" t="s">
        <v>1399</v>
      </c>
      <c r="H665" s="651" t="s">
        <v>1400</v>
      </c>
      <c r="I665" s="651" t="s">
        <v>19</v>
      </c>
      <c r="J665" s="684">
        <v>54597.42</v>
      </c>
      <c r="K665" s="684">
        <v>47.651600000000002</v>
      </c>
      <c r="L665" s="655">
        <f t="shared" si="71"/>
        <v>1145.7625767025661</v>
      </c>
      <c r="M665" s="628">
        <v>60</v>
      </c>
      <c r="N665" s="667">
        <f t="shared" si="72"/>
        <v>909.95699999999999</v>
      </c>
      <c r="O665" s="668">
        <f t="shared" ca="1" si="73"/>
        <v>76</v>
      </c>
      <c r="P665" s="655">
        <f t="shared" ca="1" si="74"/>
        <v>-14559.312000000005</v>
      </c>
      <c r="Q665" s="667">
        <f t="shared" ca="1" si="70"/>
        <v>1</v>
      </c>
      <c r="R665" s="669" t="s">
        <v>1401</v>
      </c>
    </row>
    <row r="666" spans="2:18" ht="39.950000000000003" customHeight="1" x14ac:dyDescent="0.25">
      <c r="B666" s="649">
        <v>43020</v>
      </c>
      <c r="C666" s="662" t="s">
        <v>2351</v>
      </c>
      <c r="D666" s="669" t="s">
        <v>1397</v>
      </c>
      <c r="E666" s="651" t="s">
        <v>1402</v>
      </c>
      <c r="F666" s="663" t="s">
        <v>1388</v>
      </c>
      <c r="G666" s="651" t="s">
        <v>1403</v>
      </c>
      <c r="H666" s="651" t="s">
        <v>1404</v>
      </c>
      <c r="I666" s="651" t="s">
        <v>19</v>
      </c>
      <c r="J666" s="684">
        <v>54597.42</v>
      </c>
      <c r="K666" s="684">
        <v>47.651600000000002</v>
      </c>
      <c r="L666" s="655">
        <f t="shared" si="71"/>
        <v>1145.7625767025661</v>
      </c>
      <c r="M666" s="628">
        <v>60</v>
      </c>
      <c r="N666" s="667">
        <f t="shared" si="72"/>
        <v>909.95699999999999</v>
      </c>
      <c r="O666" s="668">
        <f t="shared" ca="1" si="73"/>
        <v>76</v>
      </c>
      <c r="P666" s="655">
        <f t="shared" ca="1" si="74"/>
        <v>-14559.312000000005</v>
      </c>
      <c r="Q666" s="667">
        <f t="shared" ca="1" si="70"/>
        <v>1</v>
      </c>
      <c r="R666" s="669" t="s">
        <v>1401</v>
      </c>
    </row>
    <row r="667" spans="2:18" ht="39.950000000000003" customHeight="1" x14ac:dyDescent="0.25">
      <c r="B667" s="649">
        <v>43020</v>
      </c>
      <c r="C667" s="662" t="s">
        <v>2351</v>
      </c>
      <c r="D667" s="669" t="s">
        <v>1397</v>
      </c>
      <c r="E667" s="651" t="s">
        <v>1405</v>
      </c>
      <c r="F667" s="663" t="s">
        <v>1388</v>
      </c>
      <c r="G667" s="651" t="s">
        <v>1406</v>
      </c>
      <c r="H667" s="651" t="s">
        <v>1407</v>
      </c>
      <c r="I667" s="651" t="s">
        <v>19</v>
      </c>
      <c r="J667" s="684">
        <v>54597.42</v>
      </c>
      <c r="K667" s="684">
        <v>47.651600000000002</v>
      </c>
      <c r="L667" s="655">
        <f t="shared" si="71"/>
        <v>1145.7625767025661</v>
      </c>
      <c r="M667" s="628">
        <v>60</v>
      </c>
      <c r="N667" s="667">
        <f t="shared" si="72"/>
        <v>909.95699999999999</v>
      </c>
      <c r="O667" s="668">
        <f t="shared" ca="1" si="73"/>
        <v>76</v>
      </c>
      <c r="P667" s="655">
        <f t="shared" ca="1" si="74"/>
        <v>-14559.312000000005</v>
      </c>
      <c r="Q667" s="667">
        <f t="shared" ca="1" si="70"/>
        <v>1</v>
      </c>
      <c r="R667" s="669" t="s">
        <v>1401</v>
      </c>
    </row>
    <row r="668" spans="2:18" ht="39.950000000000003" customHeight="1" x14ac:dyDescent="0.25">
      <c r="B668" s="649">
        <v>43020</v>
      </c>
      <c r="C668" s="662" t="s">
        <v>2351</v>
      </c>
      <c r="D668" s="669" t="s">
        <v>1397</v>
      </c>
      <c r="E668" s="651" t="s">
        <v>1408</v>
      </c>
      <c r="F668" s="663" t="s">
        <v>1388</v>
      </c>
      <c r="G668" s="651" t="s">
        <v>1409</v>
      </c>
      <c r="H668" s="651" t="s">
        <v>1410</v>
      </c>
      <c r="I668" s="651" t="s">
        <v>19</v>
      </c>
      <c r="J668" s="684">
        <v>54597.42</v>
      </c>
      <c r="K668" s="684">
        <v>47.651600000000002</v>
      </c>
      <c r="L668" s="655">
        <f t="shared" si="71"/>
        <v>1145.7625767025661</v>
      </c>
      <c r="M668" s="628">
        <v>60</v>
      </c>
      <c r="N668" s="667">
        <f t="shared" si="72"/>
        <v>909.95699999999999</v>
      </c>
      <c r="O668" s="668">
        <f t="shared" ca="1" si="73"/>
        <v>76</v>
      </c>
      <c r="P668" s="655">
        <f t="shared" ca="1" si="74"/>
        <v>-14559.312000000005</v>
      </c>
      <c r="Q668" s="667">
        <f t="shared" ca="1" si="70"/>
        <v>1</v>
      </c>
      <c r="R668" s="669" t="s">
        <v>1401</v>
      </c>
    </row>
    <row r="669" spans="2:18" ht="68.25" customHeight="1" x14ac:dyDescent="0.25">
      <c r="B669" s="649">
        <v>43020</v>
      </c>
      <c r="C669" s="662" t="s">
        <v>2351</v>
      </c>
      <c r="D669" s="669" t="s">
        <v>1397</v>
      </c>
      <c r="E669" s="651" t="s">
        <v>1411</v>
      </c>
      <c r="F669" s="663" t="s">
        <v>1388</v>
      </c>
      <c r="G669" s="651" t="s">
        <v>1412</v>
      </c>
      <c r="H669" s="651" t="s">
        <v>1413</v>
      </c>
      <c r="I669" s="651" t="s">
        <v>19</v>
      </c>
      <c r="J669" s="684">
        <v>54597.42</v>
      </c>
      <c r="K669" s="684">
        <v>47.651600000000002</v>
      </c>
      <c r="L669" s="655">
        <f t="shared" si="71"/>
        <v>1145.7625767025661</v>
      </c>
      <c r="M669" s="628">
        <v>60</v>
      </c>
      <c r="N669" s="667">
        <f t="shared" si="72"/>
        <v>909.95699999999999</v>
      </c>
      <c r="O669" s="668">
        <f t="shared" ca="1" si="73"/>
        <v>76</v>
      </c>
      <c r="P669" s="655">
        <f t="shared" ca="1" si="74"/>
        <v>-14559.312000000005</v>
      </c>
      <c r="Q669" s="667">
        <f t="shared" ca="1" si="70"/>
        <v>1</v>
      </c>
      <c r="R669" s="669" t="s">
        <v>1401</v>
      </c>
    </row>
    <row r="670" spans="2:18" ht="63" customHeight="1" x14ac:dyDescent="0.25">
      <c r="B670" s="685">
        <v>43446</v>
      </c>
      <c r="C670" s="662" t="s">
        <v>2351</v>
      </c>
      <c r="D670" s="677" t="s">
        <v>1414</v>
      </c>
      <c r="E670" s="679" t="s">
        <v>1415</v>
      </c>
      <c r="F670" s="652" t="s">
        <v>1416</v>
      </c>
      <c r="G670" s="679">
        <v>18070316</v>
      </c>
      <c r="H670" s="679" t="s">
        <v>318</v>
      </c>
      <c r="I670" s="679" t="s">
        <v>1417</v>
      </c>
      <c r="J670" s="684">
        <v>192256</v>
      </c>
      <c r="K670" s="684">
        <v>50.130299999999998</v>
      </c>
      <c r="L670" s="655">
        <f t="shared" si="71"/>
        <v>3835.1256625234641</v>
      </c>
      <c r="M670" s="628">
        <v>60</v>
      </c>
      <c r="N670" s="667">
        <f t="shared" si="72"/>
        <v>3204.2666666666669</v>
      </c>
      <c r="O670" s="668">
        <f t="shared" ca="1" si="73"/>
        <v>62</v>
      </c>
      <c r="P670" s="655">
        <f t="shared" ca="1" si="74"/>
        <v>-6408.5333333333547</v>
      </c>
      <c r="Q670" s="667">
        <f t="shared" ca="1" si="70"/>
        <v>1</v>
      </c>
      <c r="R670" s="677" t="s">
        <v>1418</v>
      </c>
    </row>
    <row r="671" spans="2:18" ht="67.5" customHeight="1" x14ac:dyDescent="0.25">
      <c r="B671" s="685">
        <v>43446</v>
      </c>
      <c r="C671" s="662" t="s">
        <v>2351</v>
      </c>
      <c r="D671" s="677" t="s">
        <v>1414</v>
      </c>
      <c r="E671" s="679" t="s">
        <v>1419</v>
      </c>
      <c r="F671" s="652" t="s">
        <v>1420</v>
      </c>
      <c r="G671" s="679">
        <v>501805509</v>
      </c>
      <c r="H671" s="679" t="s">
        <v>318</v>
      </c>
      <c r="I671" s="679" t="s">
        <v>1417</v>
      </c>
      <c r="J671" s="684">
        <v>220800</v>
      </c>
      <c r="K671" s="684">
        <v>50.130299999999998</v>
      </c>
      <c r="L671" s="655">
        <f t="shared" si="71"/>
        <v>4404.5218161471212</v>
      </c>
      <c r="M671" s="628">
        <v>60</v>
      </c>
      <c r="N671" s="667">
        <f t="shared" si="72"/>
        <v>3680</v>
      </c>
      <c r="O671" s="668">
        <f t="shared" ca="1" si="73"/>
        <v>62</v>
      </c>
      <c r="P671" s="655">
        <f t="shared" ca="1" si="74"/>
        <v>-7360</v>
      </c>
      <c r="Q671" s="667">
        <f t="shared" ca="1" si="70"/>
        <v>1</v>
      </c>
      <c r="R671" s="677" t="s">
        <v>1418</v>
      </c>
    </row>
    <row r="672" spans="2:18" ht="60" customHeight="1" x14ac:dyDescent="0.25">
      <c r="B672" s="685">
        <v>43446</v>
      </c>
      <c r="C672" s="662" t="s">
        <v>2351</v>
      </c>
      <c r="D672" s="677" t="s">
        <v>1414</v>
      </c>
      <c r="E672" s="679" t="s">
        <v>1421</v>
      </c>
      <c r="F672" s="652" t="s">
        <v>1422</v>
      </c>
      <c r="G672" s="679">
        <v>301809504</v>
      </c>
      <c r="H672" s="679" t="s">
        <v>318</v>
      </c>
      <c r="I672" s="679" t="s">
        <v>1417</v>
      </c>
      <c r="J672" s="684">
        <v>176640</v>
      </c>
      <c r="K672" s="684">
        <v>50.130299999999998</v>
      </c>
      <c r="L672" s="655">
        <f t="shared" si="71"/>
        <v>3523.6174529176965</v>
      </c>
      <c r="M672" s="628">
        <v>60</v>
      </c>
      <c r="N672" s="667">
        <f t="shared" si="72"/>
        <v>2944</v>
      </c>
      <c r="O672" s="668">
        <f t="shared" ca="1" si="73"/>
        <v>62</v>
      </c>
      <c r="P672" s="655">
        <f t="shared" ca="1" si="74"/>
        <v>-5888</v>
      </c>
      <c r="Q672" s="667">
        <f t="shared" ca="1" si="70"/>
        <v>1</v>
      </c>
      <c r="R672" s="677" t="s">
        <v>1418</v>
      </c>
    </row>
    <row r="673" spans="2:18" ht="60" customHeight="1" x14ac:dyDescent="0.25">
      <c r="B673" s="685">
        <v>43446</v>
      </c>
      <c r="C673" s="662" t="s">
        <v>2351</v>
      </c>
      <c r="D673" s="677" t="s">
        <v>1414</v>
      </c>
      <c r="E673" s="679" t="s">
        <v>1423</v>
      </c>
      <c r="F673" s="652" t="s">
        <v>1422</v>
      </c>
      <c r="G673" s="679">
        <v>301809503</v>
      </c>
      <c r="H673" s="679" t="s">
        <v>318</v>
      </c>
      <c r="I673" s="679" t="s">
        <v>1417</v>
      </c>
      <c r="J673" s="684">
        <v>176640</v>
      </c>
      <c r="K673" s="684">
        <v>50.130299999999998</v>
      </c>
      <c r="L673" s="655">
        <f t="shared" si="71"/>
        <v>3523.6174529176965</v>
      </c>
      <c r="M673" s="628">
        <v>60</v>
      </c>
      <c r="N673" s="667">
        <f t="shared" si="72"/>
        <v>2944</v>
      </c>
      <c r="O673" s="668">
        <f t="shared" ca="1" si="73"/>
        <v>62</v>
      </c>
      <c r="P673" s="655">
        <f t="shared" ca="1" si="74"/>
        <v>-5888</v>
      </c>
      <c r="Q673" s="667">
        <f t="shared" ca="1" si="70"/>
        <v>1</v>
      </c>
      <c r="R673" s="677" t="s">
        <v>1424</v>
      </c>
    </row>
    <row r="674" spans="2:18" ht="60" customHeight="1" x14ac:dyDescent="0.25">
      <c r="B674" s="685">
        <v>43446</v>
      </c>
      <c r="C674" s="662" t="s">
        <v>2351</v>
      </c>
      <c r="D674" s="677" t="s">
        <v>1414</v>
      </c>
      <c r="E674" s="679" t="s">
        <v>1425</v>
      </c>
      <c r="F674" s="652" t="s">
        <v>1426</v>
      </c>
      <c r="G674" s="679">
        <v>181143998</v>
      </c>
      <c r="H674" s="679" t="s">
        <v>318</v>
      </c>
      <c r="I674" s="679" t="s">
        <v>1417</v>
      </c>
      <c r="J674" s="684">
        <v>102400</v>
      </c>
      <c r="K674" s="684">
        <v>50.130299999999998</v>
      </c>
      <c r="L674" s="655">
        <f t="shared" si="71"/>
        <v>2042.6767843001139</v>
      </c>
      <c r="M674" s="628">
        <v>60</v>
      </c>
      <c r="N674" s="667">
        <f t="shared" si="72"/>
        <v>1706.6666666666667</v>
      </c>
      <c r="O674" s="668">
        <f t="shared" ca="1" si="73"/>
        <v>62</v>
      </c>
      <c r="P674" s="655">
        <f t="shared" ca="1" si="74"/>
        <v>-3413.333333333343</v>
      </c>
      <c r="Q674" s="667">
        <f t="shared" ca="1" si="70"/>
        <v>1</v>
      </c>
      <c r="R674" s="677" t="s">
        <v>1424</v>
      </c>
    </row>
    <row r="675" spans="2:18" ht="60" customHeight="1" x14ac:dyDescent="0.25">
      <c r="B675" s="685">
        <v>43446</v>
      </c>
      <c r="C675" s="662" t="s">
        <v>2351</v>
      </c>
      <c r="D675" s="677" t="s">
        <v>1414</v>
      </c>
      <c r="E675" s="679" t="s">
        <v>1427</v>
      </c>
      <c r="F675" s="652" t="s">
        <v>1428</v>
      </c>
      <c r="G675" s="679" t="s">
        <v>28</v>
      </c>
      <c r="H675" s="679" t="s">
        <v>318</v>
      </c>
      <c r="I675" s="679" t="s">
        <v>1417</v>
      </c>
      <c r="J675" s="684">
        <v>9520</v>
      </c>
      <c r="K675" s="684">
        <v>50.130299999999998</v>
      </c>
      <c r="L675" s="655">
        <f t="shared" si="71"/>
        <v>189.90510729040122</v>
      </c>
      <c r="M675" s="628">
        <v>60</v>
      </c>
      <c r="N675" s="667">
        <f t="shared" si="72"/>
        <v>158.66666666666666</v>
      </c>
      <c r="O675" s="668">
        <f t="shared" ca="1" si="73"/>
        <v>62</v>
      </c>
      <c r="P675" s="655">
        <f t="shared" ca="1" si="74"/>
        <v>-317.33333333333212</v>
      </c>
      <c r="Q675" s="667">
        <f t="shared" ca="1" si="70"/>
        <v>1</v>
      </c>
      <c r="R675" s="677" t="s">
        <v>1429</v>
      </c>
    </row>
    <row r="676" spans="2:18" ht="60" customHeight="1" x14ac:dyDescent="0.25">
      <c r="B676" s="685">
        <v>43446</v>
      </c>
      <c r="C676" s="662" t="s">
        <v>2351</v>
      </c>
      <c r="D676" s="677" t="s">
        <v>1414</v>
      </c>
      <c r="E676" s="679" t="s">
        <v>1430</v>
      </c>
      <c r="F676" s="652" t="s">
        <v>1428</v>
      </c>
      <c r="G676" s="679" t="s">
        <v>28</v>
      </c>
      <c r="H676" s="679" t="s">
        <v>318</v>
      </c>
      <c r="I676" s="679" t="s">
        <v>1417</v>
      </c>
      <c r="J676" s="684">
        <v>9520</v>
      </c>
      <c r="K676" s="684">
        <v>50.130299999999998</v>
      </c>
      <c r="L676" s="655">
        <f t="shared" si="71"/>
        <v>189.90510729040122</v>
      </c>
      <c r="M676" s="628">
        <v>60</v>
      </c>
      <c r="N676" s="667">
        <f t="shared" si="72"/>
        <v>158.66666666666666</v>
      </c>
      <c r="O676" s="668">
        <f t="shared" ca="1" si="73"/>
        <v>62</v>
      </c>
      <c r="P676" s="655">
        <f t="shared" ca="1" si="74"/>
        <v>-317.33333333333212</v>
      </c>
      <c r="Q676" s="667">
        <f t="shared" ca="1" si="70"/>
        <v>1</v>
      </c>
      <c r="R676" s="677" t="s">
        <v>1429</v>
      </c>
    </row>
    <row r="677" spans="2:18" ht="60" customHeight="1" x14ac:dyDescent="0.25">
      <c r="B677" s="685">
        <v>43446</v>
      </c>
      <c r="C677" s="662" t="s">
        <v>2351</v>
      </c>
      <c r="D677" s="677" t="s">
        <v>1414</v>
      </c>
      <c r="E677" s="679" t="s">
        <v>1431</v>
      </c>
      <c r="F677" s="652" t="s">
        <v>1428</v>
      </c>
      <c r="G677" s="679" t="s">
        <v>28</v>
      </c>
      <c r="H677" s="679" t="s">
        <v>318</v>
      </c>
      <c r="I677" s="679" t="s">
        <v>1417</v>
      </c>
      <c r="J677" s="684">
        <v>9520</v>
      </c>
      <c r="K677" s="684">
        <v>50.130299999999998</v>
      </c>
      <c r="L677" s="655">
        <f t="shared" si="71"/>
        <v>189.90510729040122</v>
      </c>
      <c r="M677" s="628">
        <v>60</v>
      </c>
      <c r="N677" s="667">
        <f t="shared" si="72"/>
        <v>158.66666666666666</v>
      </c>
      <c r="O677" s="668">
        <f t="shared" ca="1" si="73"/>
        <v>62</v>
      </c>
      <c r="P677" s="655">
        <f t="shared" ca="1" si="74"/>
        <v>-317.33333333333212</v>
      </c>
      <c r="Q677" s="667">
        <f t="shared" ca="1" si="70"/>
        <v>1</v>
      </c>
      <c r="R677" s="677" t="s">
        <v>1429</v>
      </c>
    </row>
    <row r="678" spans="2:18" ht="60" customHeight="1" x14ac:dyDescent="0.25">
      <c r="B678" s="685">
        <v>43446</v>
      </c>
      <c r="C678" s="662" t="s">
        <v>2351</v>
      </c>
      <c r="D678" s="677" t="s">
        <v>1414</v>
      </c>
      <c r="E678" s="679" t="s">
        <v>1432</v>
      </c>
      <c r="F678" s="652" t="s">
        <v>1433</v>
      </c>
      <c r="G678" s="679" t="s">
        <v>1434</v>
      </c>
      <c r="H678" s="679" t="s">
        <v>318</v>
      </c>
      <c r="I678" s="679" t="s">
        <v>1417</v>
      </c>
      <c r="J678" s="684">
        <v>75600</v>
      </c>
      <c r="K678" s="684">
        <v>50.130299999999998</v>
      </c>
      <c r="L678" s="655">
        <f t="shared" si="71"/>
        <v>1508.0699696590684</v>
      </c>
      <c r="M678" s="628">
        <v>60</v>
      </c>
      <c r="N678" s="667">
        <f t="shared" si="72"/>
        <v>1260</v>
      </c>
      <c r="O678" s="668">
        <f t="shared" ca="1" si="73"/>
        <v>62</v>
      </c>
      <c r="P678" s="655">
        <f t="shared" ca="1" si="74"/>
        <v>-2520</v>
      </c>
      <c r="Q678" s="667">
        <f t="shared" ca="1" si="70"/>
        <v>1</v>
      </c>
      <c r="R678" s="677" t="s">
        <v>1429</v>
      </c>
    </row>
    <row r="679" spans="2:18" ht="60" customHeight="1" x14ac:dyDescent="0.25">
      <c r="B679" s="685">
        <v>43446</v>
      </c>
      <c r="C679" s="662" t="s">
        <v>2351</v>
      </c>
      <c r="D679" s="677" t="s">
        <v>1414</v>
      </c>
      <c r="E679" s="679" t="s">
        <v>1435</v>
      </c>
      <c r="F679" s="652" t="s">
        <v>1436</v>
      </c>
      <c r="G679" s="679">
        <v>172205787</v>
      </c>
      <c r="H679" s="679" t="s">
        <v>318</v>
      </c>
      <c r="I679" s="679" t="s">
        <v>1417</v>
      </c>
      <c r="J679" s="684">
        <v>13608</v>
      </c>
      <c r="K679" s="684">
        <v>50.130299999999998</v>
      </c>
      <c r="L679" s="655">
        <f t="shared" si="71"/>
        <v>271.45259453863235</v>
      </c>
      <c r="M679" s="628">
        <v>60</v>
      </c>
      <c r="N679" s="667">
        <f t="shared" si="72"/>
        <v>226.8</v>
      </c>
      <c r="O679" s="668">
        <f t="shared" ca="1" si="73"/>
        <v>62</v>
      </c>
      <c r="P679" s="655">
        <f t="shared" ca="1" si="74"/>
        <v>-453.60000000000036</v>
      </c>
      <c r="Q679" s="667">
        <f t="shared" ca="1" si="70"/>
        <v>1</v>
      </c>
      <c r="R679" s="677" t="s">
        <v>1429</v>
      </c>
    </row>
    <row r="680" spans="2:18" ht="60" customHeight="1" x14ac:dyDescent="0.25">
      <c r="B680" s="685">
        <v>43446</v>
      </c>
      <c r="C680" s="662" t="s">
        <v>2351</v>
      </c>
      <c r="D680" s="677" t="s">
        <v>1414</v>
      </c>
      <c r="E680" s="679" t="s">
        <v>1437</v>
      </c>
      <c r="F680" s="652" t="s">
        <v>1438</v>
      </c>
      <c r="G680" s="679" t="s">
        <v>28</v>
      </c>
      <c r="H680" s="679" t="s">
        <v>318</v>
      </c>
      <c r="I680" s="679" t="s">
        <v>1417</v>
      </c>
      <c r="J680" s="684">
        <v>10584</v>
      </c>
      <c r="K680" s="684">
        <v>50.130299999999998</v>
      </c>
      <c r="L680" s="655">
        <f t="shared" si="71"/>
        <v>211.12979575226959</v>
      </c>
      <c r="M680" s="628">
        <v>60</v>
      </c>
      <c r="N680" s="667">
        <f t="shared" si="72"/>
        <v>176.4</v>
      </c>
      <c r="O680" s="668">
        <f t="shared" ca="1" si="73"/>
        <v>62</v>
      </c>
      <c r="P680" s="655">
        <f t="shared" ca="1" si="74"/>
        <v>-352.80000000000109</v>
      </c>
      <c r="Q680" s="667">
        <f t="shared" ca="1" si="70"/>
        <v>1</v>
      </c>
      <c r="R680" s="677" t="s">
        <v>1429</v>
      </c>
    </row>
    <row r="681" spans="2:18" ht="60" customHeight="1" x14ac:dyDescent="0.25">
      <c r="B681" s="685">
        <v>43446</v>
      </c>
      <c r="C681" s="662" t="s">
        <v>2351</v>
      </c>
      <c r="D681" s="677" t="s">
        <v>1414</v>
      </c>
      <c r="E681" s="679" t="s">
        <v>1439</v>
      </c>
      <c r="F681" s="652" t="s">
        <v>1440</v>
      </c>
      <c r="G681" s="679" t="s">
        <v>28</v>
      </c>
      <c r="H681" s="679" t="s">
        <v>318</v>
      </c>
      <c r="I681" s="679" t="s">
        <v>1417</v>
      </c>
      <c r="J681" s="684">
        <v>3024</v>
      </c>
      <c r="K681" s="684">
        <v>50.130299999999998</v>
      </c>
      <c r="L681" s="655">
        <f t="shared" si="71"/>
        <v>60.322798786362739</v>
      </c>
      <c r="M681" s="628">
        <v>60</v>
      </c>
      <c r="N681" s="667">
        <f t="shared" si="72"/>
        <v>50.4</v>
      </c>
      <c r="O681" s="668">
        <f t="shared" ca="1" si="73"/>
        <v>62</v>
      </c>
      <c r="P681" s="655">
        <f t="shared" ca="1" si="74"/>
        <v>-100.79999999999973</v>
      </c>
      <c r="Q681" s="667">
        <f t="shared" ca="1" si="70"/>
        <v>1</v>
      </c>
      <c r="R681" s="677" t="s">
        <v>1429</v>
      </c>
    </row>
    <row r="682" spans="2:18" ht="60" customHeight="1" x14ac:dyDescent="0.25">
      <c r="B682" s="685">
        <v>43446</v>
      </c>
      <c r="C682" s="662" t="s">
        <v>2351</v>
      </c>
      <c r="D682" s="677" t="s">
        <v>1414</v>
      </c>
      <c r="E682" s="679" t="s">
        <v>1441</v>
      </c>
      <c r="F682" s="652" t="s">
        <v>4473</v>
      </c>
      <c r="G682" s="679" t="s">
        <v>28</v>
      </c>
      <c r="H682" s="679" t="s">
        <v>318</v>
      </c>
      <c r="I682" s="679" t="s">
        <v>1417</v>
      </c>
      <c r="J682" s="684">
        <v>5444</v>
      </c>
      <c r="K682" s="684">
        <v>50.130299999999998</v>
      </c>
      <c r="L682" s="655">
        <f t="shared" si="71"/>
        <v>108.59699622783027</v>
      </c>
      <c r="M682" s="628">
        <v>60</v>
      </c>
      <c r="N682" s="667">
        <f t="shared" si="72"/>
        <v>90.733333333333334</v>
      </c>
      <c r="O682" s="668">
        <f t="shared" ca="1" si="73"/>
        <v>62</v>
      </c>
      <c r="P682" s="655">
        <f t="shared" ca="1" si="74"/>
        <v>-181.46666666666715</v>
      </c>
      <c r="Q682" s="667">
        <f t="shared" ca="1" si="70"/>
        <v>1</v>
      </c>
      <c r="R682" s="677" t="s">
        <v>1429</v>
      </c>
    </row>
    <row r="683" spans="2:18" ht="60" customHeight="1" x14ac:dyDescent="0.25">
      <c r="B683" s="685">
        <v>43446</v>
      </c>
      <c r="C683" s="662" t="s">
        <v>2351</v>
      </c>
      <c r="D683" s="677" t="s">
        <v>1414</v>
      </c>
      <c r="E683" s="679" t="s">
        <v>1442</v>
      </c>
      <c r="F683" s="652" t="s">
        <v>4474</v>
      </c>
      <c r="G683" s="679" t="s">
        <v>28</v>
      </c>
      <c r="H683" s="679" t="s">
        <v>318</v>
      </c>
      <c r="I683" s="679" t="s">
        <v>1417</v>
      </c>
      <c r="J683" s="684">
        <v>45430</v>
      </c>
      <c r="K683" s="684">
        <v>50.130299999999998</v>
      </c>
      <c r="L683" s="655">
        <f t="shared" si="71"/>
        <v>906.23834287845875</v>
      </c>
      <c r="M683" s="628">
        <v>60</v>
      </c>
      <c r="N683" s="667">
        <f t="shared" si="72"/>
        <v>757.16666666666663</v>
      </c>
      <c r="O683" s="668">
        <f t="shared" ca="1" si="73"/>
        <v>62</v>
      </c>
      <c r="P683" s="655">
        <f t="shared" ca="1" si="74"/>
        <v>-1514.3333333333285</v>
      </c>
      <c r="Q683" s="667">
        <f t="shared" ca="1" si="70"/>
        <v>1</v>
      </c>
      <c r="R683" s="677" t="s">
        <v>1429</v>
      </c>
    </row>
    <row r="684" spans="2:18" ht="60" customHeight="1" x14ac:dyDescent="0.25">
      <c r="B684" s="685">
        <v>43446</v>
      </c>
      <c r="C684" s="662" t="s">
        <v>2351</v>
      </c>
      <c r="D684" s="679" t="s">
        <v>1414</v>
      </c>
      <c r="E684" s="679" t="s">
        <v>1443</v>
      </c>
      <c r="F684" s="652" t="s">
        <v>1444</v>
      </c>
      <c r="G684" s="679" t="s">
        <v>28</v>
      </c>
      <c r="H684" s="679" t="s">
        <v>1445</v>
      </c>
      <c r="I684" s="679" t="s">
        <v>1446</v>
      </c>
      <c r="J684" s="684">
        <v>14616</v>
      </c>
      <c r="K684" s="684">
        <v>50.130299999999998</v>
      </c>
      <c r="L684" s="686">
        <v>291.5601941340866</v>
      </c>
      <c r="M684" s="628">
        <v>60</v>
      </c>
      <c r="N684" s="667">
        <f t="shared" si="72"/>
        <v>243.6</v>
      </c>
      <c r="O684" s="668">
        <f t="shared" ca="1" si="73"/>
        <v>62</v>
      </c>
      <c r="P684" s="655">
        <f t="shared" ca="1" si="74"/>
        <v>-487.19999999999891</v>
      </c>
      <c r="Q684" s="667">
        <f t="shared" ca="1" si="70"/>
        <v>1</v>
      </c>
      <c r="R684" s="677" t="s">
        <v>1429</v>
      </c>
    </row>
    <row r="685" spans="2:18" ht="60" customHeight="1" x14ac:dyDescent="0.25">
      <c r="B685" s="685">
        <v>43446</v>
      </c>
      <c r="C685" s="662" t="s">
        <v>2351</v>
      </c>
      <c r="D685" s="679" t="s">
        <v>1414</v>
      </c>
      <c r="E685" s="679" t="s">
        <v>1447</v>
      </c>
      <c r="F685" s="652" t="s">
        <v>1444</v>
      </c>
      <c r="G685" s="679" t="s">
        <v>28</v>
      </c>
      <c r="H685" s="679" t="s">
        <v>1445</v>
      </c>
      <c r="I685" s="679" t="s">
        <v>1446</v>
      </c>
      <c r="J685" s="684">
        <v>15080</v>
      </c>
      <c r="K685" s="684">
        <v>50.130299999999998</v>
      </c>
      <c r="L685" s="686">
        <v>300.81607331294646</v>
      </c>
      <c r="M685" s="628">
        <v>60</v>
      </c>
      <c r="N685" s="667">
        <f t="shared" si="72"/>
        <v>251.33333333333334</v>
      </c>
      <c r="O685" s="668">
        <f t="shared" ca="1" si="73"/>
        <v>62</v>
      </c>
      <c r="P685" s="655">
        <f t="shared" ca="1" si="74"/>
        <v>-502.66666666666788</v>
      </c>
      <c r="Q685" s="667">
        <f t="shared" ca="1" si="70"/>
        <v>1</v>
      </c>
      <c r="R685" s="677" t="s">
        <v>1429</v>
      </c>
    </row>
    <row r="686" spans="2:18" ht="60" customHeight="1" x14ac:dyDescent="0.25">
      <c r="B686" s="685">
        <v>43446</v>
      </c>
      <c r="C686" s="662" t="s">
        <v>2351</v>
      </c>
      <c r="D686" s="679" t="s">
        <v>1414</v>
      </c>
      <c r="E686" s="679" t="s">
        <v>1448</v>
      </c>
      <c r="F686" s="652" t="s">
        <v>1449</v>
      </c>
      <c r="G686" s="679" t="s">
        <v>28</v>
      </c>
      <c r="H686" s="679" t="s">
        <v>1445</v>
      </c>
      <c r="I686" s="679" t="s">
        <v>1446</v>
      </c>
      <c r="J686" s="684">
        <v>723</v>
      </c>
      <c r="K686" s="684">
        <v>50.130299999999998</v>
      </c>
      <c r="L686" s="686">
        <v>14.422415186025219</v>
      </c>
      <c r="M686" s="628">
        <v>60</v>
      </c>
      <c r="N686" s="667">
        <f t="shared" si="72"/>
        <v>12.05</v>
      </c>
      <c r="O686" s="668">
        <f t="shared" ca="1" si="73"/>
        <v>62</v>
      </c>
      <c r="P686" s="655">
        <f t="shared" ca="1" si="74"/>
        <v>-24.100000000000023</v>
      </c>
      <c r="Q686" s="667">
        <f t="shared" ca="1" si="70"/>
        <v>1</v>
      </c>
      <c r="R686" s="677" t="s">
        <v>1429</v>
      </c>
    </row>
    <row r="687" spans="2:18" ht="60" customHeight="1" x14ac:dyDescent="0.25">
      <c r="B687" s="685">
        <v>43446</v>
      </c>
      <c r="C687" s="662" t="s">
        <v>2351</v>
      </c>
      <c r="D687" s="679" t="s">
        <v>1414</v>
      </c>
      <c r="E687" s="679" t="s">
        <v>1450</v>
      </c>
      <c r="F687" s="652" t="s">
        <v>1449</v>
      </c>
      <c r="G687" s="679" t="s">
        <v>28</v>
      </c>
      <c r="H687" s="679" t="s">
        <v>1445</v>
      </c>
      <c r="I687" s="679" t="s">
        <v>1446</v>
      </c>
      <c r="J687" s="684">
        <v>723</v>
      </c>
      <c r="K687" s="684">
        <v>50.130299999999998</v>
      </c>
      <c r="L687" s="686">
        <v>14.422415186025219</v>
      </c>
      <c r="M687" s="628">
        <v>60</v>
      </c>
      <c r="N687" s="667">
        <f t="shared" si="72"/>
        <v>12.05</v>
      </c>
      <c r="O687" s="668">
        <f t="shared" ca="1" si="73"/>
        <v>62</v>
      </c>
      <c r="P687" s="655">
        <f t="shared" ca="1" si="74"/>
        <v>-24.100000000000023</v>
      </c>
      <c r="Q687" s="667">
        <f t="shared" ca="1" si="70"/>
        <v>1</v>
      </c>
      <c r="R687" s="677" t="s">
        <v>1429</v>
      </c>
    </row>
    <row r="688" spans="2:18" ht="60" customHeight="1" x14ac:dyDescent="0.25">
      <c r="B688" s="685">
        <v>43446</v>
      </c>
      <c r="C688" s="662" t="s">
        <v>2351</v>
      </c>
      <c r="D688" s="679" t="s">
        <v>1414</v>
      </c>
      <c r="E688" s="679" t="s">
        <v>1451</v>
      </c>
      <c r="F688" s="652" t="s">
        <v>1452</v>
      </c>
      <c r="G688" s="679" t="s">
        <v>28</v>
      </c>
      <c r="H688" s="679" t="s">
        <v>1445</v>
      </c>
      <c r="I688" s="679" t="s">
        <v>1446</v>
      </c>
      <c r="J688" s="684">
        <v>73080</v>
      </c>
      <c r="K688" s="684">
        <v>50.130299999999998</v>
      </c>
      <c r="L688" s="686">
        <v>1457.8009706704329</v>
      </c>
      <c r="M688" s="628">
        <v>60</v>
      </c>
      <c r="N688" s="667">
        <f t="shared" si="72"/>
        <v>1218</v>
      </c>
      <c r="O688" s="668">
        <f t="shared" ca="1" si="73"/>
        <v>62</v>
      </c>
      <c r="P688" s="655">
        <f t="shared" ca="1" si="74"/>
        <v>-2436</v>
      </c>
      <c r="Q688" s="667">
        <f t="shared" ca="1" si="70"/>
        <v>1</v>
      </c>
      <c r="R688" s="677" t="s">
        <v>1429</v>
      </c>
    </row>
    <row r="689" spans="2:18" ht="60" customHeight="1" x14ac:dyDescent="0.25">
      <c r="B689" s="685">
        <v>43446</v>
      </c>
      <c r="C689" s="662" t="s">
        <v>2351</v>
      </c>
      <c r="D689" s="679" t="s">
        <v>1414</v>
      </c>
      <c r="E689" s="679" t="s">
        <v>1453</v>
      </c>
      <c r="F689" s="652" t="s">
        <v>1438</v>
      </c>
      <c r="G689" s="679" t="s">
        <v>28</v>
      </c>
      <c r="H689" s="679" t="s">
        <v>1445</v>
      </c>
      <c r="I689" s="679" t="s">
        <v>1446</v>
      </c>
      <c r="J689" s="684">
        <v>10584</v>
      </c>
      <c r="K689" s="684">
        <v>50.130299999999998</v>
      </c>
      <c r="L689" s="686">
        <v>211.12979575226959</v>
      </c>
      <c r="M689" s="628">
        <v>60</v>
      </c>
      <c r="N689" s="667">
        <f t="shared" si="72"/>
        <v>176.4</v>
      </c>
      <c r="O689" s="668">
        <f t="shared" ca="1" si="73"/>
        <v>62</v>
      </c>
      <c r="P689" s="655">
        <f t="shared" ca="1" si="74"/>
        <v>-352.80000000000109</v>
      </c>
      <c r="Q689" s="667">
        <f t="shared" ca="1" si="70"/>
        <v>1</v>
      </c>
      <c r="R689" s="677" t="s">
        <v>1429</v>
      </c>
    </row>
    <row r="690" spans="2:18" ht="60" customHeight="1" x14ac:dyDescent="0.25">
      <c r="B690" s="685">
        <v>43446</v>
      </c>
      <c r="C690" s="662" t="s">
        <v>2351</v>
      </c>
      <c r="D690" s="679" t="s">
        <v>1414</v>
      </c>
      <c r="E690" s="679" t="s">
        <v>1454</v>
      </c>
      <c r="F690" s="652" t="s">
        <v>1455</v>
      </c>
      <c r="G690" s="679" t="s">
        <v>28</v>
      </c>
      <c r="H690" s="679" t="s">
        <v>1445</v>
      </c>
      <c r="I690" s="679" t="s">
        <v>1446</v>
      </c>
      <c r="J690" s="684">
        <v>12600</v>
      </c>
      <c r="K690" s="684">
        <v>50.130299999999998</v>
      </c>
      <c r="L690" s="686">
        <v>251.34499494317808</v>
      </c>
      <c r="M690" s="628">
        <v>60</v>
      </c>
      <c r="N690" s="667">
        <f t="shared" si="72"/>
        <v>210</v>
      </c>
      <c r="O690" s="668">
        <f t="shared" ca="1" si="73"/>
        <v>62</v>
      </c>
      <c r="P690" s="655">
        <f t="shared" ca="1" si="74"/>
        <v>-420</v>
      </c>
      <c r="Q690" s="667">
        <f t="shared" ca="1" si="70"/>
        <v>1</v>
      </c>
      <c r="R690" s="677" t="s">
        <v>1429</v>
      </c>
    </row>
    <row r="691" spans="2:18" ht="60" customHeight="1" x14ac:dyDescent="0.25">
      <c r="B691" s="685">
        <v>43446</v>
      </c>
      <c r="C691" s="662" t="s">
        <v>2351</v>
      </c>
      <c r="D691" s="679" t="s">
        <v>1414</v>
      </c>
      <c r="E691" s="679" t="s">
        <v>1456</v>
      </c>
      <c r="F691" s="652" t="s">
        <v>1457</v>
      </c>
      <c r="G691" s="679" t="s">
        <v>28</v>
      </c>
      <c r="H691" s="679" t="s">
        <v>1445</v>
      </c>
      <c r="I691" s="679" t="s">
        <v>1446</v>
      </c>
      <c r="J691" s="684">
        <v>13500</v>
      </c>
      <c r="K691" s="684">
        <v>50.130299999999998</v>
      </c>
      <c r="L691" s="686">
        <v>269.29820886769079</v>
      </c>
      <c r="M691" s="628">
        <v>60</v>
      </c>
      <c r="N691" s="667">
        <f t="shared" si="72"/>
        <v>225</v>
      </c>
      <c r="O691" s="668">
        <f t="shared" ca="1" si="73"/>
        <v>62</v>
      </c>
      <c r="P691" s="655">
        <f t="shared" ca="1" si="74"/>
        <v>-450</v>
      </c>
      <c r="Q691" s="667">
        <f t="shared" ca="1" si="70"/>
        <v>1</v>
      </c>
      <c r="R691" s="677" t="s">
        <v>1429</v>
      </c>
    </row>
    <row r="692" spans="2:18" ht="60" customHeight="1" x14ac:dyDescent="0.25">
      <c r="B692" s="685">
        <v>43446</v>
      </c>
      <c r="C692" s="662" t="s">
        <v>2351</v>
      </c>
      <c r="D692" s="679" t="s">
        <v>1414</v>
      </c>
      <c r="E692" s="679" t="s">
        <v>1458</v>
      </c>
      <c r="F692" s="652" t="s">
        <v>1457</v>
      </c>
      <c r="G692" s="679" t="s">
        <v>28</v>
      </c>
      <c r="H692" s="679" t="s">
        <v>1445</v>
      </c>
      <c r="I692" s="679" t="s">
        <v>1446</v>
      </c>
      <c r="J692" s="684">
        <v>13500</v>
      </c>
      <c r="K692" s="684">
        <v>50.130299999999998</v>
      </c>
      <c r="L692" s="686">
        <v>269.29820886769079</v>
      </c>
      <c r="M692" s="628">
        <v>60</v>
      </c>
      <c r="N692" s="667">
        <f t="shared" si="72"/>
        <v>225</v>
      </c>
      <c r="O692" s="668">
        <f t="shared" ca="1" si="73"/>
        <v>62</v>
      </c>
      <c r="P692" s="655">
        <f t="shared" ca="1" si="74"/>
        <v>-450</v>
      </c>
      <c r="Q692" s="667">
        <f t="shared" ca="1" si="70"/>
        <v>1</v>
      </c>
      <c r="R692" s="677" t="s">
        <v>1429</v>
      </c>
    </row>
    <row r="693" spans="2:18" ht="60" customHeight="1" x14ac:dyDescent="0.25">
      <c r="B693" s="685">
        <v>43446</v>
      </c>
      <c r="C693" s="662" t="s">
        <v>2351</v>
      </c>
      <c r="D693" s="679" t="s">
        <v>1414</v>
      </c>
      <c r="E693" s="679" t="s">
        <v>1459</v>
      </c>
      <c r="F693" s="652" t="s">
        <v>1460</v>
      </c>
      <c r="G693" s="679" t="s">
        <v>28</v>
      </c>
      <c r="H693" s="679" t="s">
        <v>1445</v>
      </c>
      <c r="I693" s="679" t="s">
        <v>1446</v>
      </c>
      <c r="J693" s="684">
        <v>5040</v>
      </c>
      <c r="K693" s="684">
        <v>50.130299999999998</v>
      </c>
      <c r="L693" s="686">
        <v>100.53799797727123</v>
      </c>
      <c r="M693" s="628">
        <v>60</v>
      </c>
      <c r="N693" s="667">
        <f t="shared" si="72"/>
        <v>84</v>
      </c>
      <c r="O693" s="668">
        <f t="shared" ca="1" si="73"/>
        <v>62</v>
      </c>
      <c r="P693" s="655">
        <f t="shared" ca="1" si="74"/>
        <v>-168</v>
      </c>
      <c r="Q693" s="667">
        <f t="shared" ca="1" si="70"/>
        <v>1</v>
      </c>
      <c r="R693" s="677" t="s">
        <v>1429</v>
      </c>
    </row>
    <row r="694" spans="2:18" ht="60" customHeight="1" x14ac:dyDescent="0.25">
      <c r="B694" s="685">
        <v>43446</v>
      </c>
      <c r="C694" s="662" t="s">
        <v>2351</v>
      </c>
      <c r="D694" s="679" t="s">
        <v>1414</v>
      </c>
      <c r="E694" s="679" t="s">
        <v>1461</v>
      </c>
      <c r="F694" s="652" t="s">
        <v>1462</v>
      </c>
      <c r="G694" s="679" t="s">
        <v>28</v>
      </c>
      <c r="H694" s="679" t="s">
        <v>1445</v>
      </c>
      <c r="I694" s="679" t="s">
        <v>1446</v>
      </c>
      <c r="J694" s="684">
        <v>2066</v>
      </c>
      <c r="K694" s="684">
        <v>50.130299999999998</v>
      </c>
      <c r="L694" s="686">
        <v>41.212599964492533</v>
      </c>
      <c r="M694" s="628">
        <v>60</v>
      </c>
      <c r="N694" s="667">
        <f t="shared" si="72"/>
        <v>34.43333333333333</v>
      </c>
      <c r="O694" s="668">
        <f t="shared" ca="1" si="73"/>
        <v>62</v>
      </c>
      <c r="P694" s="655">
        <f t="shared" ca="1" si="74"/>
        <v>-68.866666666666333</v>
      </c>
      <c r="Q694" s="667">
        <f t="shared" ca="1" si="70"/>
        <v>1</v>
      </c>
      <c r="R694" s="677" t="s">
        <v>1429</v>
      </c>
    </row>
    <row r="695" spans="2:18" ht="60" customHeight="1" x14ac:dyDescent="0.25">
      <c r="B695" s="685">
        <v>43446</v>
      </c>
      <c r="C695" s="662" t="s">
        <v>2351</v>
      </c>
      <c r="D695" s="679" t="s">
        <v>1414</v>
      </c>
      <c r="E695" s="679" t="s">
        <v>1463</v>
      </c>
      <c r="F695" s="652" t="s">
        <v>1462</v>
      </c>
      <c r="G695" s="679" t="s">
        <v>28</v>
      </c>
      <c r="H695" s="679" t="s">
        <v>1445</v>
      </c>
      <c r="I695" s="679" t="s">
        <v>1446</v>
      </c>
      <c r="J695" s="684">
        <v>2066</v>
      </c>
      <c r="K695" s="684">
        <v>50.130299999999998</v>
      </c>
      <c r="L695" s="686">
        <v>41.212599964492533</v>
      </c>
      <c r="M695" s="628">
        <v>60</v>
      </c>
      <c r="N695" s="667">
        <f t="shared" si="72"/>
        <v>34.43333333333333</v>
      </c>
      <c r="O695" s="668">
        <f t="shared" ca="1" si="73"/>
        <v>62</v>
      </c>
      <c r="P695" s="655">
        <f t="shared" ca="1" si="74"/>
        <v>-68.866666666666333</v>
      </c>
      <c r="Q695" s="667">
        <f t="shared" ca="1" si="70"/>
        <v>1</v>
      </c>
      <c r="R695" s="677" t="s">
        <v>1429</v>
      </c>
    </row>
    <row r="696" spans="2:18" ht="60" customHeight="1" x14ac:dyDescent="0.25">
      <c r="B696" s="685">
        <v>43446</v>
      </c>
      <c r="C696" s="662" t="s">
        <v>2351</v>
      </c>
      <c r="D696" s="679" t="s">
        <v>1414</v>
      </c>
      <c r="E696" s="679" t="s">
        <v>1464</v>
      </c>
      <c r="F696" s="652" t="s">
        <v>1440</v>
      </c>
      <c r="G696" s="679" t="s">
        <v>28</v>
      </c>
      <c r="H696" s="679" t="s">
        <v>1445</v>
      </c>
      <c r="I696" s="679" t="s">
        <v>1446</v>
      </c>
      <c r="J696" s="684">
        <v>3024</v>
      </c>
      <c r="K696" s="684">
        <v>50.130299999999998</v>
      </c>
      <c r="L696" s="686">
        <v>60.322798786362739</v>
      </c>
      <c r="M696" s="628">
        <v>60</v>
      </c>
      <c r="N696" s="667">
        <f t="shared" si="72"/>
        <v>50.4</v>
      </c>
      <c r="O696" s="668">
        <f t="shared" ca="1" si="73"/>
        <v>62</v>
      </c>
      <c r="P696" s="655">
        <f t="shared" ca="1" si="74"/>
        <v>-100.79999999999973</v>
      </c>
      <c r="Q696" s="667">
        <f t="shared" ca="1" si="70"/>
        <v>1</v>
      </c>
      <c r="R696" s="677" t="s">
        <v>1429</v>
      </c>
    </row>
    <row r="697" spans="2:18" ht="60" customHeight="1" x14ac:dyDescent="0.25">
      <c r="B697" s="685">
        <v>43446</v>
      </c>
      <c r="C697" s="662" t="s">
        <v>2351</v>
      </c>
      <c r="D697" s="679" t="s">
        <v>1414</v>
      </c>
      <c r="E697" s="679" t="s">
        <v>1465</v>
      </c>
      <c r="F697" s="652" t="s">
        <v>4475</v>
      </c>
      <c r="G697" s="679" t="s">
        <v>28</v>
      </c>
      <c r="H697" s="679" t="s">
        <v>1445</v>
      </c>
      <c r="I697" s="679" t="s">
        <v>1446</v>
      </c>
      <c r="J697" s="684">
        <v>8166</v>
      </c>
      <c r="K697" s="684">
        <v>50.130299999999998</v>
      </c>
      <c r="L697" s="686">
        <v>162.8954943417454</v>
      </c>
      <c r="M697" s="628">
        <v>60</v>
      </c>
      <c r="N697" s="667">
        <f t="shared" si="72"/>
        <v>136.1</v>
      </c>
      <c r="O697" s="668">
        <f t="shared" ca="1" si="73"/>
        <v>62</v>
      </c>
      <c r="P697" s="655">
        <f t="shared" ca="1" si="74"/>
        <v>-272.19999999999891</v>
      </c>
      <c r="Q697" s="667">
        <f t="shared" ca="1" si="70"/>
        <v>1</v>
      </c>
      <c r="R697" s="677" t="s">
        <v>1429</v>
      </c>
    </row>
    <row r="698" spans="2:18" ht="60" customHeight="1" x14ac:dyDescent="0.25">
      <c r="B698" s="685">
        <v>43446</v>
      </c>
      <c r="C698" s="662" t="s">
        <v>2351</v>
      </c>
      <c r="D698" s="679" t="s">
        <v>1414</v>
      </c>
      <c r="E698" s="679" t="s">
        <v>1466</v>
      </c>
      <c r="F698" s="652" t="s">
        <v>4476</v>
      </c>
      <c r="G698" s="679" t="s">
        <v>28</v>
      </c>
      <c r="H698" s="679" t="s">
        <v>1445</v>
      </c>
      <c r="I698" s="679" t="s">
        <v>1446</v>
      </c>
      <c r="J698" s="684">
        <v>12016</v>
      </c>
      <c r="K698" s="684">
        <v>50.130299999999998</v>
      </c>
      <c r="L698" s="686">
        <v>239.69535390771651</v>
      </c>
      <c r="M698" s="628">
        <v>60</v>
      </c>
      <c r="N698" s="667">
        <f t="shared" si="72"/>
        <v>200.26666666666668</v>
      </c>
      <c r="O698" s="668">
        <f t="shared" ca="1" si="73"/>
        <v>62</v>
      </c>
      <c r="P698" s="655">
        <f t="shared" ca="1" si="74"/>
        <v>-400.53333333333467</v>
      </c>
      <c r="Q698" s="667">
        <f t="shared" ca="1" si="70"/>
        <v>1</v>
      </c>
      <c r="R698" s="677" t="s">
        <v>1429</v>
      </c>
    </row>
    <row r="699" spans="2:18" ht="60" customHeight="1" x14ac:dyDescent="0.25">
      <c r="B699" s="685">
        <v>43446</v>
      </c>
      <c r="C699" s="662" t="s">
        <v>2351</v>
      </c>
      <c r="D699" s="679" t="s">
        <v>1414</v>
      </c>
      <c r="E699" s="679" t="s">
        <v>1467</v>
      </c>
      <c r="F699" s="652" t="s">
        <v>4477</v>
      </c>
      <c r="G699" s="679" t="s">
        <v>28</v>
      </c>
      <c r="H699" s="679" t="s">
        <v>1445</v>
      </c>
      <c r="I699" s="679" t="s">
        <v>1446</v>
      </c>
      <c r="J699" s="684">
        <v>9072</v>
      </c>
      <c r="K699" s="684">
        <v>50.130299999999998</v>
      </c>
      <c r="L699" s="686">
        <v>180.96839635908822</v>
      </c>
      <c r="M699" s="628">
        <v>60</v>
      </c>
      <c r="N699" s="667">
        <f t="shared" si="72"/>
        <v>151.19999999999999</v>
      </c>
      <c r="O699" s="668">
        <f t="shared" ca="1" si="73"/>
        <v>62</v>
      </c>
      <c r="P699" s="655">
        <f t="shared" ca="1" si="74"/>
        <v>-302.39999999999964</v>
      </c>
      <c r="Q699" s="667">
        <f t="shared" ca="1" si="70"/>
        <v>1</v>
      </c>
      <c r="R699" s="677" t="s">
        <v>1429</v>
      </c>
    </row>
    <row r="700" spans="2:18" ht="60" customHeight="1" x14ac:dyDescent="0.25">
      <c r="B700" s="685">
        <v>43446</v>
      </c>
      <c r="C700" s="662" t="s">
        <v>2351</v>
      </c>
      <c r="D700" s="679" t="s">
        <v>1414</v>
      </c>
      <c r="E700" s="679" t="s">
        <v>1468</v>
      </c>
      <c r="F700" s="652" t="s">
        <v>1469</v>
      </c>
      <c r="G700" s="679" t="s">
        <v>28</v>
      </c>
      <c r="H700" s="679" t="s">
        <v>1445</v>
      </c>
      <c r="I700" s="679" t="s">
        <v>1446</v>
      </c>
      <c r="J700" s="684">
        <v>40815</v>
      </c>
      <c r="K700" s="684">
        <v>50.130299999999998</v>
      </c>
      <c r="L700" s="686">
        <v>814.17825147665189</v>
      </c>
      <c r="M700" s="628">
        <v>60</v>
      </c>
      <c r="N700" s="667">
        <f t="shared" si="72"/>
        <v>680.25</v>
      </c>
      <c r="O700" s="668">
        <f t="shared" ca="1" si="73"/>
        <v>62</v>
      </c>
      <c r="P700" s="655">
        <f t="shared" ca="1" si="74"/>
        <v>-1360.5</v>
      </c>
      <c r="Q700" s="667">
        <f t="shared" ca="1" si="70"/>
        <v>1</v>
      </c>
      <c r="R700" s="677" t="s">
        <v>1429</v>
      </c>
    </row>
    <row r="701" spans="2:18" ht="60" customHeight="1" x14ac:dyDescent="0.25">
      <c r="B701" s="679">
        <v>43446</v>
      </c>
      <c r="C701" s="662" t="s">
        <v>2351</v>
      </c>
      <c r="D701" s="679" t="s">
        <v>1414</v>
      </c>
      <c r="E701" s="679" t="s">
        <v>1470</v>
      </c>
      <c r="F701" s="679" t="s">
        <v>1422</v>
      </c>
      <c r="G701" s="679">
        <v>301809502</v>
      </c>
      <c r="H701" s="679" t="s">
        <v>45</v>
      </c>
      <c r="I701" s="679" t="s">
        <v>1471</v>
      </c>
      <c r="J701" s="687">
        <v>176640</v>
      </c>
      <c r="K701" s="679">
        <v>50.130299999999998</v>
      </c>
      <c r="L701" s="679">
        <v>3523.6174529176965</v>
      </c>
      <c r="M701" s="679">
        <v>60</v>
      </c>
      <c r="N701" s="667">
        <f t="shared" si="72"/>
        <v>2944</v>
      </c>
      <c r="O701" s="679">
        <f t="shared" ca="1" si="73"/>
        <v>62</v>
      </c>
      <c r="P701" s="679">
        <f t="shared" ca="1" si="74"/>
        <v>-5888</v>
      </c>
      <c r="Q701" s="667">
        <f t="shared" ca="1" si="70"/>
        <v>1</v>
      </c>
      <c r="R701" s="679" t="s">
        <v>1429</v>
      </c>
    </row>
    <row r="702" spans="2:18" ht="60" customHeight="1" x14ac:dyDescent="0.25">
      <c r="B702" s="685">
        <v>43446</v>
      </c>
      <c r="C702" s="662" t="s">
        <v>2351</v>
      </c>
      <c r="D702" s="677" t="s">
        <v>1414</v>
      </c>
      <c r="E702" s="679" t="s">
        <v>1472</v>
      </c>
      <c r="F702" s="652" t="s">
        <v>1422</v>
      </c>
      <c r="G702" s="679">
        <v>301809501</v>
      </c>
      <c r="H702" s="679" t="s">
        <v>45</v>
      </c>
      <c r="I702" s="679" t="s">
        <v>1473</v>
      </c>
      <c r="J702" s="684">
        <v>176640</v>
      </c>
      <c r="K702" s="684">
        <v>50.130299999999998</v>
      </c>
      <c r="L702" s="655">
        <f t="shared" si="71"/>
        <v>3523.6174529176965</v>
      </c>
      <c r="M702" s="628">
        <v>60</v>
      </c>
      <c r="N702" s="667">
        <f t="shared" si="72"/>
        <v>2944</v>
      </c>
      <c r="O702" s="668">
        <f t="shared" ca="1" si="73"/>
        <v>62</v>
      </c>
      <c r="P702" s="655">
        <f t="shared" ca="1" si="74"/>
        <v>-5888</v>
      </c>
      <c r="Q702" s="667">
        <f t="shared" ca="1" si="70"/>
        <v>1</v>
      </c>
      <c r="R702" s="677" t="s">
        <v>1429</v>
      </c>
    </row>
    <row r="703" spans="2:18" ht="60" customHeight="1" x14ac:dyDescent="0.25">
      <c r="B703" s="685">
        <v>43446</v>
      </c>
      <c r="C703" s="662" t="s">
        <v>2351</v>
      </c>
      <c r="D703" s="677" t="s">
        <v>1414</v>
      </c>
      <c r="E703" s="679" t="s">
        <v>1474</v>
      </c>
      <c r="F703" s="652" t="s">
        <v>1428</v>
      </c>
      <c r="G703" s="679" t="s">
        <v>28</v>
      </c>
      <c r="H703" s="679" t="s">
        <v>45</v>
      </c>
      <c r="I703" s="679" t="s">
        <v>838</v>
      </c>
      <c r="J703" s="684">
        <v>9520</v>
      </c>
      <c r="K703" s="684">
        <v>50.130299999999998</v>
      </c>
      <c r="L703" s="655">
        <f t="shared" si="71"/>
        <v>189.90510729040122</v>
      </c>
      <c r="M703" s="628">
        <v>60</v>
      </c>
      <c r="N703" s="667">
        <f t="shared" si="72"/>
        <v>158.66666666666666</v>
      </c>
      <c r="O703" s="668">
        <f t="shared" ca="1" si="73"/>
        <v>62</v>
      </c>
      <c r="P703" s="655">
        <f t="shared" ca="1" si="74"/>
        <v>-317.33333333333212</v>
      </c>
      <c r="Q703" s="667">
        <f t="shared" ca="1" si="70"/>
        <v>1</v>
      </c>
      <c r="R703" s="677" t="s">
        <v>1429</v>
      </c>
    </row>
    <row r="704" spans="2:18" ht="60" customHeight="1" x14ac:dyDescent="0.25">
      <c r="B704" s="685">
        <v>43446</v>
      </c>
      <c r="C704" s="662" t="s">
        <v>2351</v>
      </c>
      <c r="D704" s="677" t="s">
        <v>1414</v>
      </c>
      <c r="E704" s="679" t="s">
        <v>1475</v>
      </c>
      <c r="F704" s="652" t="s">
        <v>1428</v>
      </c>
      <c r="G704" s="679" t="s">
        <v>28</v>
      </c>
      <c r="H704" s="679" t="s">
        <v>45</v>
      </c>
      <c r="I704" s="679" t="s">
        <v>838</v>
      </c>
      <c r="J704" s="684">
        <v>9520</v>
      </c>
      <c r="K704" s="684">
        <v>50.130299999999998</v>
      </c>
      <c r="L704" s="655">
        <f t="shared" si="71"/>
        <v>189.90510729040122</v>
      </c>
      <c r="M704" s="628">
        <v>60</v>
      </c>
      <c r="N704" s="667">
        <f t="shared" si="72"/>
        <v>158.66666666666666</v>
      </c>
      <c r="O704" s="668">
        <f t="shared" ca="1" si="73"/>
        <v>62</v>
      </c>
      <c r="P704" s="655">
        <f t="shared" ca="1" si="74"/>
        <v>-317.33333333333212</v>
      </c>
      <c r="Q704" s="667">
        <f t="shared" ca="1" si="70"/>
        <v>1</v>
      </c>
      <c r="R704" s="677" t="s">
        <v>1429</v>
      </c>
    </row>
    <row r="705" spans="2:18" ht="60" customHeight="1" x14ac:dyDescent="0.25">
      <c r="B705" s="685">
        <v>43446</v>
      </c>
      <c r="C705" s="662" t="s">
        <v>2351</v>
      </c>
      <c r="D705" s="677" t="s">
        <v>1414</v>
      </c>
      <c r="E705" s="679" t="s">
        <v>1476</v>
      </c>
      <c r="F705" s="652" t="s">
        <v>1428</v>
      </c>
      <c r="G705" s="679" t="s">
        <v>28</v>
      </c>
      <c r="H705" s="679" t="s">
        <v>45</v>
      </c>
      <c r="I705" s="679" t="s">
        <v>838</v>
      </c>
      <c r="J705" s="684">
        <v>9520</v>
      </c>
      <c r="K705" s="684">
        <v>50.130299999999998</v>
      </c>
      <c r="L705" s="655">
        <f t="shared" si="71"/>
        <v>189.90510729040122</v>
      </c>
      <c r="M705" s="628">
        <v>60</v>
      </c>
      <c r="N705" s="667">
        <f t="shared" si="72"/>
        <v>158.66666666666666</v>
      </c>
      <c r="O705" s="668">
        <f t="shared" ca="1" si="73"/>
        <v>62</v>
      </c>
      <c r="P705" s="655">
        <f t="shared" ca="1" si="74"/>
        <v>-317.33333333333212</v>
      </c>
      <c r="Q705" s="667">
        <f t="shared" ca="1" si="70"/>
        <v>1</v>
      </c>
      <c r="R705" s="677" t="s">
        <v>1429</v>
      </c>
    </row>
    <row r="706" spans="2:18" ht="60" customHeight="1" x14ac:dyDescent="0.25">
      <c r="B706" s="685">
        <v>43446</v>
      </c>
      <c r="C706" s="662" t="s">
        <v>2351</v>
      </c>
      <c r="D706" s="677" t="s">
        <v>1414</v>
      </c>
      <c r="E706" s="679" t="s">
        <v>1477</v>
      </c>
      <c r="F706" s="652" t="s">
        <v>1478</v>
      </c>
      <c r="G706" s="679" t="s">
        <v>1479</v>
      </c>
      <c r="H706" s="679" t="s">
        <v>45</v>
      </c>
      <c r="I706" s="679" t="s">
        <v>838</v>
      </c>
      <c r="J706" s="684">
        <v>75600</v>
      </c>
      <c r="K706" s="684">
        <v>50.130299999999998</v>
      </c>
      <c r="L706" s="655">
        <f t="shared" si="71"/>
        <v>1508.0699696590684</v>
      </c>
      <c r="M706" s="628">
        <v>60</v>
      </c>
      <c r="N706" s="667">
        <f t="shared" si="72"/>
        <v>1260</v>
      </c>
      <c r="O706" s="668">
        <f t="shared" ca="1" si="73"/>
        <v>62</v>
      </c>
      <c r="P706" s="655">
        <f t="shared" ca="1" si="74"/>
        <v>-2520</v>
      </c>
      <c r="Q706" s="667">
        <f t="shared" ca="1" si="70"/>
        <v>1</v>
      </c>
      <c r="R706" s="677" t="s">
        <v>1429</v>
      </c>
    </row>
    <row r="707" spans="2:18" ht="60" customHeight="1" x14ac:dyDescent="0.25">
      <c r="B707" s="685">
        <v>43446</v>
      </c>
      <c r="C707" s="662" t="s">
        <v>2351</v>
      </c>
      <c r="D707" s="677" t="s">
        <v>1414</v>
      </c>
      <c r="E707" s="679" t="s">
        <v>1480</v>
      </c>
      <c r="F707" s="652" t="s">
        <v>1444</v>
      </c>
      <c r="G707" s="679" t="s">
        <v>1481</v>
      </c>
      <c r="H707" s="679" t="s">
        <v>45</v>
      </c>
      <c r="I707" s="679" t="s">
        <v>838</v>
      </c>
      <c r="J707" s="684">
        <v>14616</v>
      </c>
      <c r="K707" s="684">
        <v>50.130299999999998</v>
      </c>
      <c r="L707" s="655">
        <f t="shared" si="71"/>
        <v>291.5601941340866</v>
      </c>
      <c r="M707" s="628">
        <v>60</v>
      </c>
      <c r="N707" s="667">
        <f t="shared" si="72"/>
        <v>243.6</v>
      </c>
      <c r="O707" s="668">
        <f t="shared" ca="1" si="73"/>
        <v>62</v>
      </c>
      <c r="P707" s="655">
        <f t="shared" ca="1" si="74"/>
        <v>-487.19999999999891</v>
      </c>
      <c r="Q707" s="667">
        <f t="shared" ca="1" si="70"/>
        <v>1</v>
      </c>
      <c r="R707" s="677" t="s">
        <v>1429</v>
      </c>
    </row>
    <row r="708" spans="2:18" ht="60" customHeight="1" x14ac:dyDescent="0.25">
      <c r="B708" s="685">
        <v>43446</v>
      </c>
      <c r="C708" s="662" t="s">
        <v>2351</v>
      </c>
      <c r="D708" s="677" t="s">
        <v>1414</v>
      </c>
      <c r="E708" s="679" t="s">
        <v>1482</v>
      </c>
      <c r="F708" s="652" t="s">
        <v>1436</v>
      </c>
      <c r="G708" s="679">
        <v>172205754</v>
      </c>
      <c r="H708" s="679" t="s">
        <v>45</v>
      </c>
      <c r="I708" s="679" t="s">
        <v>838</v>
      </c>
      <c r="J708" s="684">
        <v>13608</v>
      </c>
      <c r="K708" s="684">
        <v>50.130299999999998</v>
      </c>
      <c r="L708" s="655">
        <f t="shared" si="71"/>
        <v>271.45259453863235</v>
      </c>
      <c r="M708" s="628">
        <v>60</v>
      </c>
      <c r="N708" s="667">
        <f t="shared" si="72"/>
        <v>226.8</v>
      </c>
      <c r="O708" s="668">
        <f t="shared" ca="1" si="73"/>
        <v>62</v>
      </c>
      <c r="P708" s="655">
        <f t="shared" ca="1" si="74"/>
        <v>-453.60000000000036</v>
      </c>
      <c r="Q708" s="667">
        <f t="shared" ca="1" si="70"/>
        <v>1</v>
      </c>
      <c r="R708" s="677" t="s">
        <v>1429</v>
      </c>
    </row>
    <row r="709" spans="2:18" ht="60" customHeight="1" x14ac:dyDescent="0.25">
      <c r="B709" s="685">
        <v>43446</v>
      </c>
      <c r="C709" s="662" t="s">
        <v>2351</v>
      </c>
      <c r="D709" s="677" t="s">
        <v>1414</v>
      </c>
      <c r="E709" s="679" t="s">
        <v>1483</v>
      </c>
      <c r="F709" s="652" t="s">
        <v>1452</v>
      </c>
      <c r="G709" s="679">
        <v>2018111447</v>
      </c>
      <c r="H709" s="679" t="s">
        <v>45</v>
      </c>
      <c r="I709" s="679" t="s">
        <v>838</v>
      </c>
      <c r="J709" s="684">
        <v>73080</v>
      </c>
      <c r="K709" s="684">
        <v>50.130299999999998</v>
      </c>
      <c r="L709" s="655">
        <f t="shared" si="71"/>
        <v>1457.8009706704329</v>
      </c>
      <c r="M709" s="628">
        <v>60</v>
      </c>
      <c r="N709" s="667">
        <f t="shared" si="72"/>
        <v>1218</v>
      </c>
      <c r="O709" s="668">
        <f t="shared" ca="1" si="73"/>
        <v>62</v>
      </c>
      <c r="P709" s="655">
        <f t="shared" ca="1" si="74"/>
        <v>-2436</v>
      </c>
      <c r="Q709" s="667">
        <f t="shared" ca="1" si="70"/>
        <v>1</v>
      </c>
      <c r="R709" s="677" t="s">
        <v>1429</v>
      </c>
    </row>
    <row r="710" spans="2:18" ht="60" customHeight="1" x14ac:dyDescent="0.25">
      <c r="B710" s="685">
        <v>43446</v>
      </c>
      <c r="C710" s="662" t="s">
        <v>2351</v>
      </c>
      <c r="D710" s="677" t="s">
        <v>1414</v>
      </c>
      <c r="E710" s="679" t="s">
        <v>1484</v>
      </c>
      <c r="F710" s="652" t="s">
        <v>1438</v>
      </c>
      <c r="G710" s="679" t="s">
        <v>28</v>
      </c>
      <c r="H710" s="679" t="s">
        <v>45</v>
      </c>
      <c r="I710" s="679" t="s">
        <v>838</v>
      </c>
      <c r="J710" s="684">
        <v>10584</v>
      </c>
      <c r="K710" s="684">
        <v>50.130299999999998</v>
      </c>
      <c r="L710" s="655">
        <f t="shared" si="71"/>
        <v>211.12979575226959</v>
      </c>
      <c r="M710" s="628">
        <v>60</v>
      </c>
      <c r="N710" s="667">
        <f t="shared" si="72"/>
        <v>176.4</v>
      </c>
      <c r="O710" s="668">
        <f t="shared" ca="1" si="73"/>
        <v>62</v>
      </c>
      <c r="P710" s="655">
        <f t="shared" ca="1" si="74"/>
        <v>-352.80000000000109</v>
      </c>
      <c r="Q710" s="667">
        <f t="shared" ca="1" si="70"/>
        <v>1</v>
      </c>
      <c r="R710" s="677" t="s">
        <v>1429</v>
      </c>
    </row>
    <row r="711" spans="2:18" ht="60" customHeight="1" x14ac:dyDescent="0.25">
      <c r="B711" s="685">
        <v>43446</v>
      </c>
      <c r="C711" s="662" t="s">
        <v>2351</v>
      </c>
      <c r="D711" s="677" t="s">
        <v>1414</v>
      </c>
      <c r="E711" s="679" t="s">
        <v>1485</v>
      </c>
      <c r="F711" s="652" t="s">
        <v>1438</v>
      </c>
      <c r="G711" s="679" t="s">
        <v>28</v>
      </c>
      <c r="H711" s="679" t="s">
        <v>45</v>
      </c>
      <c r="I711" s="679" t="s">
        <v>838</v>
      </c>
      <c r="J711" s="684">
        <v>10584</v>
      </c>
      <c r="K711" s="684">
        <v>50.130299999999998</v>
      </c>
      <c r="L711" s="655">
        <f t="shared" si="71"/>
        <v>211.12979575226959</v>
      </c>
      <c r="M711" s="628">
        <v>60</v>
      </c>
      <c r="N711" s="667">
        <f t="shared" si="72"/>
        <v>176.4</v>
      </c>
      <c r="O711" s="668">
        <f t="shared" ca="1" si="73"/>
        <v>62</v>
      </c>
      <c r="P711" s="655">
        <f t="shared" ca="1" si="74"/>
        <v>-352.80000000000109</v>
      </c>
      <c r="Q711" s="667">
        <f t="shared" ca="1" si="70"/>
        <v>1</v>
      </c>
      <c r="R711" s="677" t="s">
        <v>1429</v>
      </c>
    </row>
    <row r="712" spans="2:18" ht="60" customHeight="1" x14ac:dyDescent="0.25">
      <c r="B712" s="685">
        <v>43446</v>
      </c>
      <c r="C712" s="662" t="s">
        <v>2351</v>
      </c>
      <c r="D712" s="677" t="s">
        <v>1414</v>
      </c>
      <c r="E712" s="679" t="s">
        <v>1486</v>
      </c>
      <c r="F712" s="652" t="s">
        <v>1455</v>
      </c>
      <c r="G712" s="679" t="s">
        <v>28</v>
      </c>
      <c r="H712" s="679" t="s">
        <v>45</v>
      </c>
      <c r="I712" s="679" t="s">
        <v>838</v>
      </c>
      <c r="J712" s="684">
        <v>12600</v>
      </c>
      <c r="K712" s="684">
        <v>50.130299999999998</v>
      </c>
      <c r="L712" s="655">
        <f t="shared" si="71"/>
        <v>251.34499494317808</v>
      </c>
      <c r="M712" s="628">
        <v>60</v>
      </c>
      <c r="N712" s="667">
        <f t="shared" si="72"/>
        <v>210</v>
      </c>
      <c r="O712" s="668">
        <f t="shared" ca="1" si="73"/>
        <v>62</v>
      </c>
      <c r="P712" s="655">
        <f t="shared" ca="1" si="74"/>
        <v>-420</v>
      </c>
      <c r="Q712" s="667">
        <f t="shared" ref="Q712:Q775" ca="1" si="75">IF(P712&lt;1,1,P712)</f>
        <v>1</v>
      </c>
      <c r="R712" s="677" t="s">
        <v>1429</v>
      </c>
    </row>
    <row r="713" spans="2:18" ht="60" customHeight="1" x14ac:dyDescent="0.25">
      <c r="B713" s="685">
        <v>43446</v>
      </c>
      <c r="C713" s="662" t="s">
        <v>2351</v>
      </c>
      <c r="D713" s="677" t="s">
        <v>1414</v>
      </c>
      <c r="E713" s="679" t="s">
        <v>1487</v>
      </c>
      <c r="F713" s="652" t="s">
        <v>1457</v>
      </c>
      <c r="G713" s="679" t="s">
        <v>28</v>
      </c>
      <c r="H713" s="651" t="s">
        <v>45</v>
      </c>
      <c r="I713" s="651" t="s">
        <v>838</v>
      </c>
      <c r="J713" s="684">
        <v>13500</v>
      </c>
      <c r="K713" s="684">
        <v>50.130299999999998</v>
      </c>
      <c r="L713" s="655">
        <f t="shared" si="71"/>
        <v>269.29820886769079</v>
      </c>
      <c r="M713" s="628">
        <v>60</v>
      </c>
      <c r="N713" s="667">
        <f t="shared" si="72"/>
        <v>225</v>
      </c>
      <c r="O713" s="668">
        <f t="shared" ca="1" si="73"/>
        <v>62</v>
      </c>
      <c r="P713" s="655">
        <f t="shared" ca="1" si="74"/>
        <v>-450</v>
      </c>
      <c r="Q713" s="667">
        <f t="shared" ca="1" si="75"/>
        <v>1</v>
      </c>
      <c r="R713" s="677" t="s">
        <v>1429</v>
      </c>
    </row>
    <row r="714" spans="2:18" ht="60" customHeight="1" x14ac:dyDescent="0.25">
      <c r="B714" s="685">
        <v>43446</v>
      </c>
      <c r="C714" s="662" t="s">
        <v>2351</v>
      </c>
      <c r="D714" s="677" t="s">
        <v>1414</v>
      </c>
      <c r="E714" s="679" t="s">
        <v>1488</v>
      </c>
      <c r="F714" s="652" t="s">
        <v>1460</v>
      </c>
      <c r="G714" s="679" t="s">
        <v>28</v>
      </c>
      <c r="H714" s="679" t="s">
        <v>45</v>
      </c>
      <c r="I714" s="679" t="s">
        <v>838</v>
      </c>
      <c r="J714" s="684">
        <v>5040</v>
      </c>
      <c r="K714" s="684">
        <v>50.130299999999998</v>
      </c>
      <c r="L714" s="655">
        <f t="shared" si="71"/>
        <v>100.53799797727123</v>
      </c>
      <c r="M714" s="628">
        <v>60</v>
      </c>
      <c r="N714" s="667">
        <f t="shared" si="72"/>
        <v>84</v>
      </c>
      <c r="O714" s="668">
        <f t="shared" ca="1" si="73"/>
        <v>62</v>
      </c>
      <c r="P714" s="655">
        <f t="shared" ca="1" si="74"/>
        <v>-168</v>
      </c>
      <c r="Q714" s="667">
        <f t="shared" ca="1" si="75"/>
        <v>1</v>
      </c>
      <c r="R714" s="677" t="s">
        <v>1429</v>
      </c>
    </row>
    <row r="715" spans="2:18" ht="60" customHeight="1" x14ac:dyDescent="0.25">
      <c r="B715" s="685">
        <v>43446</v>
      </c>
      <c r="C715" s="662" t="s">
        <v>2351</v>
      </c>
      <c r="D715" s="677" t="s">
        <v>1414</v>
      </c>
      <c r="E715" s="679" t="s">
        <v>1489</v>
      </c>
      <c r="F715" s="652" t="s">
        <v>1462</v>
      </c>
      <c r="G715" s="679" t="s">
        <v>28</v>
      </c>
      <c r="H715" s="679" t="s">
        <v>45</v>
      </c>
      <c r="I715" s="679" t="s">
        <v>838</v>
      </c>
      <c r="J715" s="684">
        <v>2066</v>
      </c>
      <c r="K715" s="684">
        <v>50.130299999999998</v>
      </c>
      <c r="L715" s="655">
        <f t="shared" si="71"/>
        <v>41.212599964492533</v>
      </c>
      <c r="M715" s="628">
        <v>60</v>
      </c>
      <c r="N715" s="667">
        <f t="shared" si="72"/>
        <v>34.43333333333333</v>
      </c>
      <c r="O715" s="668">
        <f t="shared" ca="1" si="73"/>
        <v>62</v>
      </c>
      <c r="P715" s="655">
        <f t="shared" ca="1" si="74"/>
        <v>-68.866666666666333</v>
      </c>
      <c r="Q715" s="667">
        <f t="shared" ca="1" si="75"/>
        <v>1</v>
      </c>
      <c r="R715" s="677" t="s">
        <v>1429</v>
      </c>
    </row>
    <row r="716" spans="2:18" ht="60" customHeight="1" x14ac:dyDescent="0.25">
      <c r="B716" s="685">
        <v>43446</v>
      </c>
      <c r="C716" s="662" t="s">
        <v>2351</v>
      </c>
      <c r="D716" s="677" t="s">
        <v>1414</v>
      </c>
      <c r="E716" s="679" t="s">
        <v>1490</v>
      </c>
      <c r="F716" s="652" t="s">
        <v>1462</v>
      </c>
      <c r="G716" s="679" t="s">
        <v>28</v>
      </c>
      <c r="H716" s="679" t="s">
        <v>45</v>
      </c>
      <c r="I716" s="679" t="s">
        <v>838</v>
      </c>
      <c r="J716" s="684">
        <v>2066</v>
      </c>
      <c r="K716" s="684">
        <v>50.130299999999998</v>
      </c>
      <c r="L716" s="655">
        <f t="shared" si="71"/>
        <v>41.212599964492533</v>
      </c>
      <c r="M716" s="628">
        <v>60</v>
      </c>
      <c r="N716" s="667">
        <f t="shared" si="72"/>
        <v>34.43333333333333</v>
      </c>
      <c r="O716" s="668">
        <f t="shared" ca="1" si="73"/>
        <v>62</v>
      </c>
      <c r="P716" s="655">
        <f t="shared" ca="1" si="74"/>
        <v>-68.866666666666333</v>
      </c>
      <c r="Q716" s="667">
        <f t="shared" ca="1" si="75"/>
        <v>1</v>
      </c>
      <c r="R716" s="677" t="s">
        <v>1429</v>
      </c>
    </row>
    <row r="717" spans="2:18" ht="60" customHeight="1" x14ac:dyDescent="0.25">
      <c r="B717" s="685">
        <v>43446</v>
      </c>
      <c r="C717" s="662" t="s">
        <v>2351</v>
      </c>
      <c r="D717" s="677" t="s">
        <v>1414</v>
      </c>
      <c r="E717" s="679" t="s">
        <v>1491</v>
      </c>
      <c r="F717" s="652" t="s">
        <v>1440</v>
      </c>
      <c r="G717" s="679" t="s">
        <v>28</v>
      </c>
      <c r="H717" s="679" t="s">
        <v>45</v>
      </c>
      <c r="I717" s="679" t="s">
        <v>838</v>
      </c>
      <c r="J717" s="684">
        <v>3024</v>
      </c>
      <c r="K717" s="684">
        <v>50.130299999999998</v>
      </c>
      <c r="L717" s="655">
        <f t="shared" si="71"/>
        <v>60.322798786362739</v>
      </c>
      <c r="M717" s="628">
        <v>60</v>
      </c>
      <c r="N717" s="667">
        <f t="shared" si="72"/>
        <v>50.4</v>
      </c>
      <c r="O717" s="668">
        <f t="shared" ca="1" si="73"/>
        <v>62</v>
      </c>
      <c r="P717" s="655">
        <f t="shared" ca="1" si="74"/>
        <v>-100.79999999999973</v>
      </c>
      <c r="Q717" s="667">
        <f t="shared" ca="1" si="75"/>
        <v>1</v>
      </c>
      <c r="R717" s="677" t="s">
        <v>1429</v>
      </c>
    </row>
    <row r="718" spans="2:18" ht="60" customHeight="1" x14ac:dyDescent="0.25">
      <c r="B718" s="685">
        <v>43446</v>
      </c>
      <c r="C718" s="662" t="s">
        <v>2351</v>
      </c>
      <c r="D718" s="677" t="s">
        <v>1414</v>
      </c>
      <c r="E718" s="679" t="s">
        <v>1492</v>
      </c>
      <c r="F718" s="652" t="s">
        <v>1440</v>
      </c>
      <c r="G718" s="679" t="s">
        <v>28</v>
      </c>
      <c r="H718" s="679" t="s">
        <v>45</v>
      </c>
      <c r="I718" s="679" t="s">
        <v>838</v>
      </c>
      <c r="J718" s="684">
        <v>3024</v>
      </c>
      <c r="K718" s="684">
        <v>50.130299999999998</v>
      </c>
      <c r="L718" s="655">
        <f t="shared" si="71"/>
        <v>60.322798786362739</v>
      </c>
      <c r="M718" s="628">
        <v>60</v>
      </c>
      <c r="N718" s="667">
        <f t="shared" si="72"/>
        <v>50.4</v>
      </c>
      <c r="O718" s="668">
        <f t="shared" ca="1" si="73"/>
        <v>62</v>
      </c>
      <c r="P718" s="655">
        <f t="shared" ca="1" si="74"/>
        <v>-100.79999999999973</v>
      </c>
      <c r="Q718" s="667">
        <f t="shared" ca="1" si="75"/>
        <v>1</v>
      </c>
      <c r="R718" s="677" t="s">
        <v>1429</v>
      </c>
    </row>
    <row r="719" spans="2:18" ht="60" customHeight="1" x14ac:dyDescent="0.25">
      <c r="B719" s="685">
        <v>43446</v>
      </c>
      <c r="C719" s="662" t="s">
        <v>2351</v>
      </c>
      <c r="D719" s="677" t="s">
        <v>1414</v>
      </c>
      <c r="E719" s="679" t="s">
        <v>1493</v>
      </c>
      <c r="F719" s="652" t="s">
        <v>4478</v>
      </c>
      <c r="G719" s="679" t="s">
        <v>28</v>
      </c>
      <c r="H719" s="679" t="s">
        <v>45</v>
      </c>
      <c r="I719" s="679" t="s">
        <v>838</v>
      </c>
      <c r="J719" s="684">
        <v>5444</v>
      </c>
      <c r="K719" s="684">
        <v>50.130299999999998</v>
      </c>
      <c r="L719" s="655">
        <f t="shared" si="71"/>
        <v>108.59699622783027</v>
      </c>
      <c r="M719" s="628">
        <v>60</v>
      </c>
      <c r="N719" s="667">
        <f t="shared" si="72"/>
        <v>90.733333333333334</v>
      </c>
      <c r="O719" s="668">
        <f t="shared" ca="1" si="73"/>
        <v>62</v>
      </c>
      <c r="P719" s="655">
        <f t="shared" ca="1" si="74"/>
        <v>-181.46666666666715</v>
      </c>
      <c r="Q719" s="667">
        <f t="shared" ca="1" si="75"/>
        <v>1</v>
      </c>
      <c r="R719" s="677" t="s">
        <v>1429</v>
      </c>
    </row>
    <row r="720" spans="2:18" ht="60" customHeight="1" x14ac:dyDescent="0.25">
      <c r="B720" s="685">
        <v>43446</v>
      </c>
      <c r="C720" s="662" t="s">
        <v>2351</v>
      </c>
      <c r="D720" s="677" t="s">
        <v>1414</v>
      </c>
      <c r="E720" s="679" t="s">
        <v>1494</v>
      </c>
      <c r="F720" s="652" t="s">
        <v>4479</v>
      </c>
      <c r="G720" s="679" t="s">
        <v>28</v>
      </c>
      <c r="H720" s="679" t="s">
        <v>45</v>
      </c>
      <c r="I720" s="679" t="s">
        <v>838</v>
      </c>
      <c r="J720" s="684">
        <v>9012</v>
      </c>
      <c r="K720" s="684">
        <v>50.130299999999998</v>
      </c>
      <c r="L720" s="655">
        <f t="shared" si="71"/>
        <v>179.77151543078736</v>
      </c>
      <c r="M720" s="628">
        <v>60</v>
      </c>
      <c r="N720" s="667">
        <f t="shared" si="72"/>
        <v>150.19999999999999</v>
      </c>
      <c r="O720" s="668">
        <f t="shared" ref="O720:O782" ca="1" si="76">IF(B720&lt;&gt;0,(ROUND((NOW()-B720)/30,0)),0)</f>
        <v>62</v>
      </c>
      <c r="P720" s="655">
        <f t="shared" ca="1" si="74"/>
        <v>-300.39999999999964</v>
      </c>
      <c r="Q720" s="667">
        <f t="shared" ca="1" si="75"/>
        <v>1</v>
      </c>
      <c r="R720" s="677" t="s">
        <v>1429</v>
      </c>
    </row>
    <row r="721" spans="2:18" ht="60" customHeight="1" x14ac:dyDescent="0.25">
      <c r="B721" s="685">
        <v>43446</v>
      </c>
      <c r="C721" s="662" t="s">
        <v>2351</v>
      </c>
      <c r="D721" s="677" t="s">
        <v>1414</v>
      </c>
      <c r="E721" s="679" t="s">
        <v>1495</v>
      </c>
      <c r="F721" s="652" t="s">
        <v>4480</v>
      </c>
      <c r="G721" s="679" t="s">
        <v>28</v>
      </c>
      <c r="H721" s="679" t="s">
        <v>45</v>
      </c>
      <c r="I721" s="679" t="s">
        <v>838</v>
      </c>
      <c r="J721" s="684">
        <v>2722</v>
      </c>
      <c r="K721" s="684">
        <v>50.130299999999998</v>
      </c>
      <c r="L721" s="655">
        <f t="shared" si="71"/>
        <v>54.298498113915137</v>
      </c>
      <c r="M721" s="628">
        <v>60</v>
      </c>
      <c r="N721" s="667">
        <f t="shared" si="72"/>
        <v>45.366666666666667</v>
      </c>
      <c r="O721" s="668">
        <f t="shared" ca="1" si="76"/>
        <v>62</v>
      </c>
      <c r="P721" s="655">
        <f t="shared" ref="P721:P783" ca="1" si="77">IF(OR(J721=0,M721=0,O721=0),0,J721-(N721*O721))</f>
        <v>-90.733333333333576</v>
      </c>
      <c r="Q721" s="667">
        <f t="shared" ca="1" si="75"/>
        <v>1</v>
      </c>
      <c r="R721" s="677" t="s">
        <v>1429</v>
      </c>
    </row>
    <row r="722" spans="2:18" ht="60" customHeight="1" x14ac:dyDescent="0.25">
      <c r="B722" s="685">
        <v>43446</v>
      </c>
      <c r="C722" s="662" t="s">
        <v>2351</v>
      </c>
      <c r="D722" s="677" t="s">
        <v>1414</v>
      </c>
      <c r="E722" s="679" t="s">
        <v>1496</v>
      </c>
      <c r="F722" s="652" t="s">
        <v>4481</v>
      </c>
      <c r="G722" s="679" t="s">
        <v>28</v>
      </c>
      <c r="H722" s="679" t="s">
        <v>45</v>
      </c>
      <c r="I722" s="679" t="s">
        <v>838</v>
      </c>
      <c r="J722" s="684">
        <v>6048</v>
      </c>
      <c r="K722" s="684">
        <v>50.130299999999998</v>
      </c>
      <c r="L722" s="655">
        <f t="shared" si="71"/>
        <v>120.64559757272548</v>
      </c>
      <c r="M722" s="628">
        <v>60</v>
      </c>
      <c r="N722" s="667">
        <f t="shared" ref="N722:N785" si="78">IF(AND(J722&lt;&gt;0,M722&lt;&gt;0),J722/M722,0)</f>
        <v>100.8</v>
      </c>
      <c r="O722" s="668">
        <f t="shared" ca="1" si="76"/>
        <v>62</v>
      </c>
      <c r="P722" s="655">
        <f t="shared" ca="1" si="77"/>
        <v>-201.59999999999945</v>
      </c>
      <c r="Q722" s="667">
        <f t="shared" ca="1" si="75"/>
        <v>1</v>
      </c>
      <c r="R722" s="677" t="s">
        <v>1429</v>
      </c>
    </row>
    <row r="723" spans="2:18" ht="60" customHeight="1" x14ac:dyDescent="0.25">
      <c r="B723" s="685">
        <v>43446</v>
      </c>
      <c r="C723" s="662" t="s">
        <v>2351</v>
      </c>
      <c r="D723" s="677" t="s">
        <v>1414</v>
      </c>
      <c r="E723" s="679" t="s">
        <v>1497</v>
      </c>
      <c r="F723" s="652" t="s">
        <v>1469</v>
      </c>
      <c r="G723" s="679" t="s">
        <v>1498</v>
      </c>
      <c r="H723" s="679" t="s">
        <v>45</v>
      </c>
      <c r="I723" s="679" t="s">
        <v>838</v>
      </c>
      <c r="J723" s="684">
        <v>40815</v>
      </c>
      <c r="K723" s="684">
        <v>50.130299999999998</v>
      </c>
      <c r="L723" s="655">
        <f t="shared" si="71"/>
        <v>814.17825147665189</v>
      </c>
      <c r="M723" s="628">
        <v>60</v>
      </c>
      <c r="N723" s="667">
        <f t="shared" si="78"/>
        <v>680.25</v>
      </c>
      <c r="O723" s="668">
        <f t="shared" ca="1" si="76"/>
        <v>62</v>
      </c>
      <c r="P723" s="655">
        <f t="shared" ca="1" si="77"/>
        <v>-1360.5</v>
      </c>
      <c r="Q723" s="667">
        <f t="shared" ca="1" si="75"/>
        <v>1</v>
      </c>
      <c r="R723" s="677" t="s">
        <v>1429</v>
      </c>
    </row>
    <row r="724" spans="2:18" ht="60" customHeight="1" x14ac:dyDescent="0.25">
      <c r="B724" s="685">
        <v>43446</v>
      </c>
      <c r="C724" s="662" t="s">
        <v>2351</v>
      </c>
      <c r="D724" s="677" t="s">
        <v>1414</v>
      </c>
      <c r="E724" s="679" t="s">
        <v>1500</v>
      </c>
      <c r="F724" s="652" t="s">
        <v>1501</v>
      </c>
      <c r="G724" s="679" t="s">
        <v>1502</v>
      </c>
      <c r="H724" s="679" t="s">
        <v>45</v>
      </c>
      <c r="I724" s="679" t="s">
        <v>838</v>
      </c>
      <c r="J724" s="684">
        <v>14152.54</v>
      </c>
      <c r="K724" s="684">
        <v>50.130299999999998</v>
      </c>
      <c r="L724" s="655">
        <f t="shared" si="71"/>
        <v>282.31508688358139</v>
      </c>
      <c r="M724" s="628">
        <v>60</v>
      </c>
      <c r="N724" s="667">
        <f t="shared" si="78"/>
        <v>235.87566666666669</v>
      </c>
      <c r="O724" s="668">
        <f t="shared" ca="1" si="76"/>
        <v>62</v>
      </c>
      <c r="P724" s="655">
        <f t="shared" ca="1" si="77"/>
        <v>-471.7513333333336</v>
      </c>
      <c r="Q724" s="667">
        <f t="shared" ca="1" si="75"/>
        <v>1</v>
      </c>
      <c r="R724" s="677" t="s">
        <v>1429</v>
      </c>
    </row>
    <row r="725" spans="2:18" ht="60" customHeight="1" x14ac:dyDescent="0.25">
      <c r="B725" s="685">
        <v>43446</v>
      </c>
      <c r="C725" s="662" t="s">
        <v>2351</v>
      </c>
      <c r="D725" s="677" t="s">
        <v>1414</v>
      </c>
      <c r="E725" s="679" t="s">
        <v>1503</v>
      </c>
      <c r="F725" s="652" t="s">
        <v>1504</v>
      </c>
      <c r="G725" s="679" t="s">
        <v>1505</v>
      </c>
      <c r="H725" s="679" t="s">
        <v>45</v>
      </c>
      <c r="I725" s="679" t="s">
        <v>838</v>
      </c>
      <c r="J725" s="684">
        <v>7546.61</v>
      </c>
      <c r="K725" s="684">
        <v>50.130299999999998</v>
      </c>
      <c r="L725" s="655">
        <f t="shared" si="71"/>
        <v>150.53989303874104</v>
      </c>
      <c r="M725" s="628">
        <v>60</v>
      </c>
      <c r="N725" s="667">
        <f t="shared" si="78"/>
        <v>125.77683333333333</v>
      </c>
      <c r="O725" s="668">
        <f t="shared" ca="1" si="76"/>
        <v>62</v>
      </c>
      <c r="P725" s="655">
        <f t="shared" ca="1" si="77"/>
        <v>-251.55366666666669</v>
      </c>
      <c r="Q725" s="667">
        <f t="shared" ca="1" si="75"/>
        <v>1</v>
      </c>
      <c r="R725" s="677" t="s">
        <v>1429</v>
      </c>
    </row>
    <row r="726" spans="2:18" ht="60" customHeight="1" x14ac:dyDescent="0.25">
      <c r="B726" s="685">
        <v>43446</v>
      </c>
      <c r="C726" s="662" t="s">
        <v>2351</v>
      </c>
      <c r="D726" s="677" t="s">
        <v>1414</v>
      </c>
      <c r="E726" s="679" t="s">
        <v>1506</v>
      </c>
      <c r="F726" s="652" t="s">
        <v>1507</v>
      </c>
      <c r="G726" s="679" t="s">
        <v>1508</v>
      </c>
      <c r="H726" s="679" t="s">
        <v>45</v>
      </c>
      <c r="I726" s="679" t="s">
        <v>838</v>
      </c>
      <c r="J726" s="684">
        <v>13478.81</v>
      </c>
      <c r="K726" s="684">
        <v>50.130299999999998</v>
      </c>
      <c r="L726" s="655">
        <f t="shared" si="71"/>
        <v>268.87551041984585</v>
      </c>
      <c r="M726" s="628">
        <v>60</v>
      </c>
      <c r="N726" s="667">
        <f t="shared" si="78"/>
        <v>224.64683333333332</v>
      </c>
      <c r="O726" s="668">
        <f t="shared" ca="1" si="76"/>
        <v>62</v>
      </c>
      <c r="P726" s="655">
        <f t="shared" ca="1" si="77"/>
        <v>-449.29366666666647</v>
      </c>
      <c r="Q726" s="667">
        <f t="shared" ca="1" si="75"/>
        <v>1</v>
      </c>
      <c r="R726" s="677" t="s">
        <v>1429</v>
      </c>
    </row>
    <row r="727" spans="2:18" ht="72" customHeight="1" x14ac:dyDescent="0.25">
      <c r="B727" s="685">
        <v>43446</v>
      </c>
      <c r="C727" s="662" t="s">
        <v>2351</v>
      </c>
      <c r="D727" s="677" t="s">
        <v>1414</v>
      </c>
      <c r="E727" s="679" t="s">
        <v>1509</v>
      </c>
      <c r="F727" s="652" t="s">
        <v>1469</v>
      </c>
      <c r="G727" s="679" t="s">
        <v>1510</v>
      </c>
      <c r="H727" s="679" t="s">
        <v>1511</v>
      </c>
      <c r="I727" s="679" t="s">
        <v>1512</v>
      </c>
      <c r="J727" s="684">
        <v>40815</v>
      </c>
      <c r="K727" s="684">
        <v>50.130299999999998</v>
      </c>
      <c r="L727" s="655">
        <f t="shared" si="71"/>
        <v>814.17825147665189</v>
      </c>
      <c r="M727" s="628">
        <v>60</v>
      </c>
      <c r="N727" s="667">
        <f t="shared" si="78"/>
        <v>680.25</v>
      </c>
      <c r="O727" s="668">
        <f t="shared" ca="1" si="76"/>
        <v>62</v>
      </c>
      <c r="P727" s="655">
        <f t="shared" ca="1" si="77"/>
        <v>-1360.5</v>
      </c>
      <c r="Q727" s="667">
        <f t="shared" ca="1" si="75"/>
        <v>1</v>
      </c>
      <c r="R727" s="677" t="s">
        <v>1429</v>
      </c>
    </row>
    <row r="728" spans="2:18" ht="45" customHeight="1" x14ac:dyDescent="0.25">
      <c r="B728" s="685">
        <v>43446</v>
      </c>
      <c r="C728" s="662" t="s">
        <v>2351</v>
      </c>
      <c r="D728" s="677" t="s">
        <v>1414</v>
      </c>
      <c r="E728" s="679" t="s">
        <v>1513</v>
      </c>
      <c r="F728" s="652" t="s">
        <v>1422</v>
      </c>
      <c r="G728" s="679">
        <v>301809502</v>
      </c>
      <c r="H728" s="679" t="s">
        <v>23</v>
      </c>
      <c r="I728" s="679" t="s">
        <v>1514</v>
      </c>
      <c r="J728" s="684">
        <v>176640</v>
      </c>
      <c r="K728" s="684">
        <v>50.130299999999998</v>
      </c>
      <c r="L728" s="655">
        <f t="shared" si="71"/>
        <v>3523.6174529176965</v>
      </c>
      <c r="M728" s="628">
        <v>60</v>
      </c>
      <c r="N728" s="667">
        <f t="shared" si="78"/>
        <v>2944</v>
      </c>
      <c r="O728" s="668">
        <f t="shared" ca="1" si="76"/>
        <v>62</v>
      </c>
      <c r="P728" s="655">
        <f t="shared" ca="1" si="77"/>
        <v>-5888</v>
      </c>
      <c r="Q728" s="667">
        <f t="shared" ca="1" si="75"/>
        <v>1</v>
      </c>
      <c r="R728" s="677" t="s">
        <v>1429</v>
      </c>
    </row>
    <row r="729" spans="2:18" ht="54.95" customHeight="1" x14ac:dyDescent="0.25">
      <c r="B729" s="685">
        <v>43446</v>
      </c>
      <c r="C729" s="662" t="s">
        <v>2351</v>
      </c>
      <c r="D729" s="677" t="s">
        <v>1414</v>
      </c>
      <c r="E729" s="679" t="s">
        <v>1515</v>
      </c>
      <c r="F729" s="652" t="s">
        <v>1516</v>
      </c>
      <c r="G729" s="679" t="s">
        <v>28</v>
      </c>
      <c r="H729" s="679" t="s">
        <v>23</v>
      </c>
      <c r="I729" s="679" t="s">
        <v>1514</v>
      </c>
      <c r="J729" s="684">
        <v>218400</v>
      </c>
      <c r="K729" s="684">
        <v>50.130299999999998</v>
      </c>
      <c r="L729" s="655">
        <f t="shared" si="71"/>
        <v>4356.6465790150869</v>
      </c>
      <c r="M729" s="628">
        <v>60</v>
      </c>
      <c r="N729" s="667">
        <f t="shared" si="78"/>
        <v>3640</v>
      </c>
      <c r="O729" s="668">
        <f t="shared" ca="1" si="76"/>
        <v>62</v>
      </c>
      <c r="P729" s="655">
        <f t="shared" ca="1" si="77"/>
        <v>-7280</v>
      </c>
      <c r="Q729" s="667">
        <f t="shared" ca="1" si="75"/>
        <v>1</v>
      </c>
      <c r="R729" s="677" t="s">
        <v>1429</v>
      </c>
    </row>
    <row r="730" spans="2:18" ht="54.95" customHeight="1" x14ac:dyDescent="0.25">
      <c r="B730" s="685">
        <v>43446</v>
      </c>
      <c r="C730" s="662" t="s">
        <v>2351</v>
      </c>
      <c r="D730" s="677" t="s">
        <v>1414</v>
      </c>
      <c r="E730" s="679" t="s">
        <v>1517</v>
      </c>
      <c r="F730" s="652" t="s">
        <v>1428</v>
      </c>
      <c r="G730" s="679" t="s">
        <v>28</v>
      </c>
      <c r="H730" s="679" t="s">
        <v>23</v>
      </c>
      <c r="I730" s="679" t="s">
        <v>1514</v>
      </c>
      <c r="J730" s="684">
        <v>9520</v>
      </c>
      <c r="K730" s="684">
        <v>50.130299999999998</v>
      </c>
      <c r="L730" s="655">
        <f t="shared" si="71"/>
        <v>189.90510729040122</v>
      </c>
      <c r="M730" s="628">
        <v>60</v>
      </c>
      <c r="N730" s="667">
        <f t="shared" si="78"/>
        <v>158.66666666666666</v>
      </c>
      <c r="O730" s="668">
        <f t="shared" ca="1" si="76"/>
        <v>62</v>
      </c>
      <c r="P730" s="655">
        <f t="shared" ca="1" si="77"/>
        <v>-317.33333333333212</v>
      </c>
      <c r="Q730" s="667">
        <f t="shared" ca="1" si="75"/>
        <v>1</v>
      </c>
      <c r="R730" s="677" t="s">
        <v>1429</v>
      </c>
    </row>
    <row r="731" spans="2:18" ht="54.95" customHeight="1" x14ac:dyDescent="0.25">
      <c r="B731" s="685">
        <v>43446</v>
      </c>
      <c r="C731" s="662" t="s">
        <v>2351</v>
      </c>
      <c r="D731" s="677" t="s">
        <v>1414</v>
      </c>
      <c r="E731" s="679" t="s">
        <v>1518</v>
      </c>
      <c r="F731" s="652" t="s">
        <v>1428</v>
      </c>
      <c r="G731" s="679" t="s">
        <v>28</v>
      </c>
      <c r="H731" s="679" t="s">
        <v>23</v>
      </c>
      <c r="I731" s="679" t="s">
        <v>1514</v>
      </c>
      <c r="J731" s="684">
        <v>9520</v>
      </c>
      <c r="K731" s="684">
        <v>50.130299999999998</v>
      </c>
      <c r="L731" s="655">
        <f t="shared" si="71"/>
        <v>189.90510729040122</v>
      </c>
      <c r="M731" s="628">
        <v>60</v>
      </c>
      <c r="N731" s="667">
        <f t="shared" si="78"/>
        <v>158.66666666666666</v>
      </c>
      <c r="O731" s="668">
        <f t="shared" ca="1" si="76"/>
        <v>62</v>
      </c>
      <c r="P731" s="655">
        <f t="shared" ca="1" si="77"/>
        <v>-317.33333333333212</v>
      </c>
      <c r="Q731" s="667">
        <f t="shared" ca="1" si="75"/>
        <v>1</v>
      </c>
      <c r="R731" s="677" t="s">
        <v>1429</v>
      </c>
    </row>
    <row r="732" spans="2:18" ht="54.95" customHeight="1" x14ac:dyDescent="0.25">
      <c r="B732" s="685">
        <v>43446</v>
      </c>
      <c r="C732" s="662" t="s">
        <v>2351</v>
      </c>
      <c r="D732" s="677" t="s">
        <v>1414</v>
      </c>
      <c r="E732" s="679" t="s">
        <v>1519</v>
      </c>
      <c r="F732" s="652" t="s">
        <v>1478</v>
      </c>
      <c r="G732" s="679" t="s">
        <v>28</v>
      </c>
      <c r="H732" s="679" t="s">
        <v>23</v>
      </c>
      <c r="I732" s="679" t="s">
        <v>1514</v>
      </c>
      <c r="J732" s="684">
        <v>75600</v>
      </c>
      <c r="K732" s="684">
        <v>50.130299999999998</v>
      </c>
      <c r="L732" s="655">
        <f t="shared" si="71"/>
        <v>1508.0699696590684</v>
      </c>
      <c r="M732" s="628">
        <v>60</v>
      </c>
      <c r="N732" s="667">
        <f t="shared" si="78"/>
        <v>1260</v>
      </c>
      <c r="O732" s="668">
        <f t="shared" ca="1" si="76"/>
        <v>62</v>
      </c>
      <c r="P732" s="655">
        <f t="shared" ca="1" si="77"/>
        <v>-2520</v>
      </c>
      <c r="Q732" s="667">
        <f t="shared" ca="1" si="75"/>
        <v>1</v>
      </c>
      <c r="R732" s="677" t="s">
        <v>1429</v>
      </c>
    </row>
    <row r="733" spans="2:18" ht="54.95" customHeight="1" x14ac:dyDescent="0.25">
      <c r="B733" s="685">
        <v>43446</v>
      </c>
      <c r="C733" s="662" t="s">
        <v>2351</v>
      </c>
      <c r="D733" s="677" t="s">
        <v>1414</v>
      </c>
      <c r="E733" s="679" t="s">
        <v>1520</v>
      </c>
      <c r="F733" s="652" t="s">
        <v>1444</v>
      </c>
      <c r="G733" s="679" t="s">
        <v>28</v>
      </c>
      <c r="H733" s="679" t="s">
        <v>23</v>
      </c>
      <c r="I733" s="679" t="s">
        <v>1514</v>
      </c>
      <c r="J733" s="684">
        <v>15080</v>
      </c>
      <c r="K733" s="684">
        <v>50.130299999999998</v>
      </c>
      <c r="L733" s="655">
        <f t="shared" si="71"/>
        <v>300.81607331294646</v>
      </c>
      <c r="M733" s="628">
        <v>60</v>
      </c>
      <c r="N733" s="667">
        <f t="shared" si="78"/>
        <v>251.33333333333334</v>
      </c>
      <c r="O733" s="668">
        <f t="shared" ca="1" si="76"/>
        <v>62</v>
      </c>
      <c r="P733" s="655">
        <f t="shared" ca="1" si="77"/>
        <v>-502.66666666666788</v>
      </c>
      <c r="Q733" s="667">
        <f t="shared" ca="1" si="75"/>
        <v>1</v>
      </c>
      <c r="R733" s="677" t="s">
        <v>1429</v>
      </c>
    </row>
    <row r="734" spans="2:18" ht="54.95" customHeight="1" x14ac:dyDescent="0.25">
      <c r="B734" s="685">
        <v>43446</v>
      </c>
      <c r="C734" s="662" t="s">
        <v>2351</v>
      </c>
      <c r="D734" s="677" t="s">
        <v>1414</v>
      </c>
      <c r="E734" s="679" t="s">
        <v>1521</v>
      </c>
      <c r="F734" s="652" t="s">
        <v>1436</v>
      </c>
      <c r="G734" s="679" t="s">
        <v>28</v>
      </c>
      <c r="H734" s="679" t="s">
        <v>23</v>
      </c>
      <c r="I734" s="679" t="s">
        <v>1514</v>
      </c>
      <c r="J734" s="684">
        <v>23920</v>
      </c>
      <c r="K734" s="684">
        <v>50.130299999999998</v>
      </c>
      <c r="L734" s="655">
        <f t="shared" si="71"/>
        <v>477.15653008260477</v>
      </c>
      <c r="M734" s="628">
        <v>60</v>
      </c>
      <c r="N734" s="667">
        <f t="shared" si="78"/>
        <v>398.66666666666669</v>
      </c>
      <c r="O734" s="668">
        <f t="shared" ca="1" si="76"/>
        <v>62</v>
      </c>
      <c r="P734" s="655">
        <f t="shared" ca="1" si="77"/>
        <v>-797.33333333333576</v>
      </c>
      <c r="Q734" s="667">
        <f t="shared" ca="1" si="75"/>
        <v>1</v>
      </c>
      <c r="R734" s="677" t="s">
        <v>1429</v>
      </c>
    </row>
    <row r="735" spans="2:18" ht="54.95" customHeight="1" x14ac:dyDescent="0.25">
      <c r="B735" s="685">
        <v>43446</v>
      </c>
      <c r="C735" s="662" t="s">
        <v>2351</v>
      </c>
      <c r="D735" s="677" t="s">
        <v>1414</v>
      </c>
      <c r="E735" s="679" t="s">
        <v>1522</v>
      </c>
      <c r="F735" s="652" t="s">
        <v>1523</v>
      </c>
      <c r="G735" s="679" t="s">
        <v>28</v>
      </c>
      <c r="H735" s="679" t="s">
        <v>23</v>
      </c>
      <c r="I735" s="679" t="s">
        <v>1514</v>
      </c>
      <c r="J735" s="684">
        <v>150545</v>
      </c>
      <c r="K735" s="684">
        <v>50.130299999999998</v>
      </c>
      <c r="L735" s="655">
        <f t="shared" si="71"/>
        <v>3003.0739891841863</v>
      </c>
      <c r="M735" s="628">
        <v>60</v>
      </c>
      <c r="N735" s="667">
        <f t="shared" si="78"/>
        <v>2509.0833333333335</v>
      </c>
      <c r="O735" s="668">
        <f t="shared" ca="1" si="76"/>
        <v>62</v>
      </c>
      <c r="P735" s="655">
        <f t="shared" ca="1" si="77"/>
        <v>-5018.1666666666861</v>
      </c>
      <c r="Q735" s="667">
        <f t="shared" ca="1" si="75"/>
        <v>1</v>
      </c>
      <c r="R735" s="677" t="s">
        <v>1429</v>
      </c>
    </row>
    <row r="736" spans="2:18" ht="54.95" customHeight="1" x14ac:dyDescent="0.25">
      <c r="B736" s="685">
        <v>43446</v>
      </c>
      <c r="C736" s="662" t="s">
        <v>2351</v>
      </c>
      <c r="D736" s="677" t="s">
        <v>1414</v>
      </c>
      <c r="E736" s="679" t="s">
        <v>1524</v>
      </c>
      <c r="F736" s="652" t="s">
        <v>1449</v>
      </c>
      <c r="G736" s="679" t="s">
        <v>28</v>
      </c>
      <c r="H736" s="679" t="s">
        <v>23</v>
      </c>
      <c r="I736" s="679" t="s">
        <v>1514</v>
      </c>
      <c r="J736" s="684">
        <v>723</v>
      </c>
      <c r="K736" s="684">
        <v>50.130299999999998</v>
      </c>
      <c r="L736" s="655">
        <f t="shared" si="71"/>
        <v>14.422415186025219</v>
      </c>
      <c r="M736" s="628">
        <v>60</v>
      </c>
      <c r="N736" s="667">
        <f t="shared" si="78"/>
        <v>12.05</v>
      </c>
      <c r="O736" s="668">
        <f t="shared" ca="1" si="76"/>
        <v>62</v>
      </c>
      <c r="P736" s="655">
        <f t="shared" ca="1" si="77"/>
        <v>-24.100000000000023</v>
      </c>
      <c r="Q736" s="667">
        <f t="shared" ca="1" si="75"/>
        <v>1</v>
      </c>
      <c r="R736" s="677" t="s">
        <v>1429</v>
      </c>
    </row>
    <row r="737" spans="2:18" ht="54.95" customHeight="1" x14ac:dyDescent="0.25">
      <c r="B737" s="685">
        <v>43446</v>
      </c>
      <c r="C737" s="662" t="s">
        <v>2351</v>
      </c>
      <c r="D737" s="677" t="s">
        <v>1414</v>
      </c>
      <c r="E737" s="679" t="s">
        <v>1525</v>
      </c>
      <c r="F737" s="652" t="s">
        <v>1449</v>
      </c>
      <c r="G737" s="679" t="s">
        <v>28</v>
      </c>
      <c r="H737" s="679" t="s">
        <v>23</v>
      </c>
      <c r="I737" s="679" t="s">
        <v>1514</v>
      </c>
      <c r="J737" s="684">
        <v>723</v>
      </c>
      <c r="K737" s="684">
        <v>50.130299999999998</v>
      </c>
      <c r="L737" s="655">
        <f t="shared" ref="L737:L800" si="79">+J737/K737</f>
        <v>14.422415186025219</v>
      </c>
      <c r="M737" s="628">
        <v>60</v>
      </c>
      <c r="N737" s="667">
        <f t="shared" si="78"/>
        <v>12.05</v>
      </c>
      <c r="O737" s="668">
        <f t="shared" ca="1" si="76"/>
        <v>62</v>
      </c>
      <c r="P737" s="655">
        <f t="shared" ca="1" si="77"/>
        <v>-24.100000000000023</v>
      </c>
      <c r="Q737" s="667">
        <f t="shared" ca="1" si="75"/>
        <v>1</v>
      </c>
      <c r="R737" s="677" t="s">
        <v>1429</v>
      </c>
    </row>
    <row r="738" spans="2:18" ht="54.95" customHeight="1" x14ac:dyDescent="0.25">
      <c r="B738" s="685">
        <v>43446</v>
      </c>
      <c r="C738" s="662" t="s">
        <v>2351</v>
      </c>
      <c r="D738" s="677" t="s">
        <v>1414</v>
      </c>
      <c r="E738" s="679" t="s">
        <v>1526</v>
      </c>
      <c r="F738" s="652" t="s">
        <v>1452</v>
      </c>
      <c r="G738" s="679" t="s">
        <v>1527</v>
      </c>
      <c r="H738" s="679" t="s">
        <v>23</v>
      </c>
      <c r="I738" s="679" t="s">
        <v>1514</v>
      </c>
      <c r="J738" s="684">
        <v>73080</v>
      </c>
      <c r="K738" s="684">
        <v>50.130299999999998</v>
      </c>
      <c r="L738" s="655">
        <f t="shared" si="79"/>
        <v>1457.8009706704329</v>
      </c>
      <c r="M738" s="628">
        <v>60</v>
      </c>
      <c r="N738" s="667">
        <f t="shared" si="78"/>
        <v>1218</v>
      </c>
      <c r="O738" s="668">
        <f t="shared" ca="1" si="76"/>
        <v>62</v>
      </c>
      <c r="P738" s="655">
        <f t="shared" ca="1" si="77"/>
        <v>-2436</v>
      </c>
      <c r="Q738" s="667">
        <f t="shared" ca="1" si="75"/>
        <v>1</v>
      </c>
      <c r="R738" s="677" t="s">
        <v>1429</v>
      </c>
    </row>
    <row r="739" spans="2:18" ht="54.95" customHeight="1" x14ac:dyDescent="0.25">
      <c r="B739" s="685">
        <v>43446</v>
      </c>
      <c r="C739" s="662" t="s">
        <v>2351</v>
      </c>
      <c r="D739" s="677" t="s">
        <v>1414</v>
      </c>
      <c r="E739" s="679" t="s">
        <v>1528</v>
      </c>
      <c r="F739" s="652" t="s">
        <v>1438</v>
      </c>
      <c r="G739" s="679" t="s">
        <v>28</v>
      </c>
      <c r="H739" s="679" t="s">
        <v>23</v>
      </c>
      <c r="I739" s="679" t="s">
        <v>1514</v>
      </c>
      <c r="J739" s="684">
        <v>10584</v>
      </c>
      <c r="K739" s="684">
        <v>50.130299999999998</v>
      </c>
      <c r="L739" s="655">
        <f t="shared" si="79"/>
        <v>211.12979575226959</v>
      </c>
      <c r="M739" s="628">
        <v>60</v>
      </c>
      <c r="N739" s="667">
        <f t="shared" si="78"/>
        <v>176.4</v>
      </c>
      <c r="O739" s="668">
        <f t="shared" ca="1" si="76"/>
        <v>62</v>
      </c>
      <c r="P739" s="655">
        <f t="shared" ca="1" si="77"/>
        <v>-352.80000000000109</v>
      </c>
      <c r="Q739" s="667">
        <f t="shared" ca="1" si="75"/>
        <v>1</v>
      </c>
      <c r="R739" s="677" t="s">
        <v>1429</v>
      </c>
    </row>
    <row r="740" spans="2:18" ht="54.95" customHeight="1" x14ac:dyDescent="0.25">
      <c r="B740" s="685">
        <v>43446</v>
      </c>
      <c r="C740" s="662" t="s">
        <v>2351</v>
      </c>
      <c r="D740" s="677" t="s">
        <v>1414</v>
      </c>
      <c r="E740" s="679" t="s">
        <v>1529</v>
      </c>
      <c r="F740" s="652" t="s">
        <v>1438</v>
      </c>
      <c r="G740" s="679" t="s">
        <v>28</v>
      </c>
      <c r="H740" s="679" t="s">
        <v>23</v>
      </c>
      <c r="I740" s="679" t="s">
        <v>1514</v>
      </c>
      <c r="J740" s="684">
        <v>10584</v>
      </c>
      <c r="K740" s="684">
        <v>50.130299999999998</v>
      </c>
      <c r="L740" s="655">
        <f t="shared" si="79"/>
        <v>211.12979575226959</v>
      </c>
      <c r="M740" s="628">
        <v>60</v>
      </c>
      <c r="N740" s="667">
        <f t="shared" si="78"/>
        <v>176.4</v>
      </c>
      <c r="O740" s="668">
        <f t="shared" ca="1" si="76"/>
        <v>62</v>
      </c>
      <c r="P740" s="655">
        <f t="shared" ca="1" si="77"/>
        <v>-352.80000000000109</v>
      </c>
      <c r="Q740" s="667">
        <f t="shared" ca="1" si="75"/>
        <v>1</v>
      </c>
      <c r="R740" s="677" t="s">
        <v>1429</v>
      </c>
    </row>
    <row r="741" spans="2:18" ht="54.95" customHeight="1" x14ac:dyDescent="0.25">
      <c r="B741" s="685">
        <v>43446</v>
      </c>
      <c r="C741" s="662" t="s">
        <v>2351</v>
      </c>
      <c r="D741" s="677" t="s">
        <v>1414</v>
      </c>
      <c r="E741" s="679" t="s">
        <v>1530</v>
      </c>
      <c r="F741" s="652" t="s">
        <v>1455</v>
      </c>
      <c r="G741" s="679" t="s">
        <v>28</v>
      </c>
      <c r="H741" s="679" t="s">
        <v>23</v>
      </c>
      <c r="I741" s="679" t="s">
        <v>1514</v>
      </c>
      <c r="J741" s="684">
        <v>12600</v>
      </c>
      <c r="K741" s="684">
        <v>50.130299999999998</v>
      </c>
      <c r="L741" s="655">
        <f t="shared" si="79"/>
        <v>251.34499494317808</v>
      </c>
      <c r="M741" s="628">
        <v>60</v>
      </c>
      <c r="N741" s="667">
        <f t="shared" si="78"/>
        <v>210</v>
      </c>
      <c r="O741" s="668">
        <f t="shared" ca="1" si="76"/>
        <v>62</v>
      </c>
      <c r="P741" s="655">
        <f t="shared" ca="1" si="77"/>
        <v>-420</v>
      </c>
      <c r="Q741" s="667">
        <f t="shared" ca="1" si="75"/>
        <v>1</v>
      </c>
      <c r="R741" s="677" t="s">
        <v>1429</v>
      </c>
    </row>
    <row r="742" spans="2:18" ht="54.95" customHeight="1" x14ac:dyDescent="0.25">
      <c r="B742" s="685">
        <v>43446</v>
      </c>
      <c r="C742" s="662" t="s">
        <v>2351</v>
      </c>
      <c r="D742" s="677" t="s">
        <v>1414</v>
      </c>
      <c r="E742" s="679" t="s">
        <v>1531</v>
      </c>
      <c r="F742" s="652" t="s">
        <v>1457</v>
      </c>
      <c r="G742" s="679" t="s">
        <v>28</v>
      </c>
      <c r="H742" s="651" t="s">
        <v>23</v>
      </c>
      <c r="I742" s="651" t="s">
        <v>1514</v>
      </c>
      <c r="J742" s="684">
        <v>13500</v>
      </c>
      <c r="K742" s="684">
        <v>50.130299999999998</v>
      </c>
      <c r="L742" s="655">
        <f t="shared" si="79"/>
        <v>269.29820886769079</v>
      </c>
      <c r="M742" s="628">
        <v>60</v>
      </c>
      <c r="N742" s="667">
        <f t="shared" si="78"/>
        <v>225</v>
      </c>
      <c r="O742" s="668">
        <f t="shared" ca="1" si="76"/>
        <v>62</v>
      </c>
      <c r="P742" s="655">
        <f t="shared" ca="1" si="77"/>
        <v>-450</v>
      </c>
      <c r="Q742" s="667">
        <f t="shared" ca="1" si="75"/>
        <v>1</v>
      </c>
      <c r="R742" s="677" t="s">
        <v>1429</v>
      </c>
    </row>
    <row r="743" spans="2:18" ht="54.95" customHeight="1" x14ac:dyDescent="0.25">
      <c r="B743" s="685">
        <v>43446</v>
      </c>
      <c r="C743" s="662" t="s">
        <v>2351</v>
      </c>
      <c r="D743" s="677" t="s">
        <v>1414</v>
      </c>
      <c r="E743" s="679" t="s">
        <v>1532</v>
      </c>
      <c r="F743" s="652" t="s">
        <v>1457</v>
      </c>
      <c r="G743" s="679" t="s">
        <v>28</v>
      </c>
      <c r="H743" s="651" t="s">
        <v>23</v>
      </c>
      <c r="I743" s="651" t="s">
        <v>1514</v>
      </c>
      <c r="J743" s="684">
        <v>13500</v>
      </c>
      <c r="K743" s="684">
        <v>50.130299999999998</v>
      </c>
      <c r="L743" s="655">
        <f t="shared" si="79"/>
        <v>269.29820886769079</v>
      </c>
      <c r="M743" s="628">
        <v>60</v>
      </c>
      <c r="N743" s="667">
        <f t="shared" si="78"/>
        <v>225</v>
      </c>
      <c r="O743" s="668">
        <f t="shared" ca="1" si="76"/>
        <v>62</v>
      </c>
      <c r="P743" s="655">
        <f t="shared" ca="1" si="77"/>
        <v>-450</v>
      </c>
      <c r="Q743" s="667">
        <f t="shared" ca="1" si="75"/>
        <v>1</v>
      </c>
      <c r="R743" s="677" t="s">
        <v>1328</v>
      </c>
    </row>
    <row r="744" spans="2:18" ht="54.95" customHeight="1" x14ac:dyDescent="0.25">
      <c r="B744" s="685">
        <v>43446</v>
      </c>
      <c r="C744" s="662" t="s">
        <v>2351</v>
      </c>
      <c r="D744" s="677" t="s">
        <v>1414</v>
      </c>
      <c r="E744" s="679" t="s">
        <v>1533</v>
      </c>
      <c r="F744" s="652" t="s">
        <v>1460</v>
      </c>
      <c r="G744" s="679" t="s">
        <v>28</v>
      </c>
      <c r="H744" s="679" t="s">
        <v>23</v>
      </c>
      <c r="I744" s="679" t="s">
        <v>1514</v>
      </c>
      <c r="J744" s="684">
        <v>5040</v>
      </c>
      <c r="K744" s="684">
        <v>50.130299999999998</v>
      </c>
      <c r="L744" s="655">
        <f t="shared" si="79"/>
        <v>100.53799797727123</v>
      </c>
      <c r="M744" s="628">
        <v>60</v>
      </c>
      <c r="N744" s="667">
        <f t="shared" si="78"/>
        <v>84</v>
      </c>
      <c r="O744" s="668">
        <f t="shared" ca="1" si="76"/>
        <v>62</v>
      </c>
      <c r="P744" s="655">
        <f t="shared" ca="1" si="77"/>
        <v>-168</v>
      </c>
      <c r="Q744" s="667">
        <f t="shared" ca="1" si="75"/>
        <v>1</v>
      </c>
      <c r="R744" s="677" t="s">
        <v>1328</v>
      </c>
    </row>
    <row r="745" spans="2:18" ht="54.95" customHeight="1" x14ac:dyDescent="0.25">
      <c r="B745" s="685">
        <v>43446</v>
      </c>
      <c r="C745" s="662" t="s">
        <v>2351</v>
      </c>
      <c r="D745" s="677" t="s">
        <v>1414</v>
      </c>
      <c r="E745" s="679" t="s">
        <v>1534</v>
      </c>
      <c r="F745" s="652" t="s">
        <v>1460</v>
      </c>
      <c r="G745" s="679" t="s">
        <v>28</v>
      </c>
      <c r="H745" s="679" t="s">
        <v>23</v>
      </c>
      <c r="I745" s="679" t="s">
        <v>1514</v>
      </c>
      <c r="J745" s="684">
        <v>5040</v>
      </c>
      <c r="K745" s="684">
        <v>50.130299999999998</v>
      </c>
      <c r="L745" s="655">
        <f t="shared" si="79"/>
        <v>100.53799797727123</v>
      </c>
      <c r="M745" s="628">
        <v>60</v>
      </c>
      <c r="N745" s="667">
        <f t="shared" si="78"/>
        <v>84</v>
      </c>
      <c r="O745" s="668">
        <f t="shared" ca="1" si="76"/>
        <v>62</v>
      </c>
      <c r="P745" s="655">
        <f t="shared" ca="1" si="77"/>
        <v>-168</v>
      </c>
      <c r="Q745" s="667">
        <f t="shared" ca="1" si="75"/>
        <v>1</v>
      </c>
      <c r="R745" s="677" t="s">
        <v>1328</v>
      </c>
    </row>
    <row r="746" spans="2:18" ht="54.95" customHeight="1" x14ac:dyDescent="0.25">
      <c r="B746" s="685">
        <v>43446</v>
      </c>
      <c r="C746" s="662" t="s">
        <v>2351</v>
      </c>
      <c r="D746" s="677" t="s">
        <v>1414</v>
      </c>
      <c r="E746" s="679" t="s">
        <v>1535</v>
      </c>
      <c r="F746" s="652" t="s">
        <v>1440</v>
      </c>
      <c r="G746" s="679" t="s">
        <v>28</v>
      </c>
      <c r="H746" s="679" t="s">
        <v>23</v>
      </c>
      <c r="I746" s="679" t="s">
        <v>1514</v>
      </c>
      <c r="J746" s="684">
        <v>3024</v>
      </c>
      <c r="K746" s="684">
        <v>50.130299999999998</v>
      </c>
      <c r="L746" s="655">
        <f t="shared" si="79"/>
        <v>60.322798786362739</v>
      </c>
      <c r="M746" s="628">
        <v>60</v>
      </c>
      <c r="N746" s="667">
        <f t="shared" si="78"/>
        <v>50.4</v>
      </c>
      <c r="O746" s="668">
        <f t="shared" ca="1" si="76"/>
        <v>62</v>
      </c>
      <c r="P746" s="655">
        <f t="shared" ca="1" si="77"/>
        <v>-100.79999999999973</v>
      </c>
      <c r="Q746" s="667">
        <f t="shared" ca="1" si="75"/>
        <v>1</v>
      </c>
      <c r="R746" s="677" t="s">
        <v>1328</v>
      </c>
    </row>
    <row r="747" spans="2:18" ht="54.95" customHeight="1" x14ac:dyDescent="0.25">
      <c r="B747" s="685">
        <v>43446</v>
      </c>
      <c r="C747" s="662" t="s">
        <v>2351</v>
      </c>
      <c r="D747" s="677" t="s">
        <v>1414</v>
      </c>
      <c r="E747" s="679" t="s">
        <v>1536</v>
      </c>
      <c r="F747" s="652" t="s">
        <v>4482</v>
      </c>
      <c r="G747" s="679" t="s">
        <v>28</v>
      </c>
      <c r="H747" s="679" t="s">
        <v>23</v>
      </c>
      <c r="I747" s="679" t="s">
        <v>1514</v>
      </c>
      <c r="J747" s="684">
        <v>10888</v>
      </c>
      <c r="K747" s="684">
        <v>50.130299999999998</v>
      </c>
      <c r="L747" s="655">
        <f t="shared" si="79"/>
        <v>217.19399245566055</v>
      </c>
      <c r="M747" s="628">
        <v>60</v>
      </c>
      <c r="N747" s="667">
        <f t="shared" si="78"/>
        <v>181.46666666666667</v>
      </c>
      <c r="O747" s="668">
        <f t="shared" ca="1" si="76"/>
        <v>62</v>
      </c>
      <c r="P747" s="655">
        <f t="shared" ca="1" si="77"/>
        <v>-362.9333333333343</v>
      </c>
      <c r="Q747" s="667">
        <f t="shared" ca="1" si="75"/>
        <v>1</v>
      </c>
      <c r="R747" s="677" t="s">
        <v>1328</v>
      </c>
    </row>
    <row r="748" spans="2:18" ht="54.95" customHeight="1" x14ac:dyDescent="0.25">
      <c r="B748" s="685">
        <v>43446</v>
      </c>
      <c r="C748" s="662" t="s">
        <v>2351</v>
      </c>
      <c r="D748" s="677" t="s">
        <v>1414</v>
      </c>
      <c r="E748" s="679" t="s">
        <v>1537</v>
      </c>
      <c r="F748" s="652" t="s">
        <v>4483</v>
      </c>
      <c r="G748" s="679" t="s">
        <v>28</v>
      </c>
      <c r="H748" s="679" t="s">
        <v>23</v>
      </c>
      <c r="I748" s="679" t="s">
        <v>1514</v>
      </c>
      <c r="J748" s="684">
        <v>15020</v>
      </c>
      <c r="K748" s="684">
        <v>50.130299999999998</v>
      </c>
      <c r="L748" s="655">
        <f t="shared" si="79"/>
        <v>299.6191923846456</v>
      </c>
      <c r="M748" s="628">
        <v>60</v>
      </c>
      <c r="N748" s="667">
        <f t="shared" si="78"/>
        <v>250.33333333333334</v>
      </c>
      <c r="O748" s="668">
        <f t="shared" ca="1" si="76"/>
        <v>62</v>
      </c>
      <c r="P748" s="655">
        <f t="shared" ca="1" si="77"/>
        <v>-500.66666666666788</v>
      </c>
      <c r="Q748" s="667">
        <f t="shared" ca="1" si="75"/>
        <v>1</v>
      </c>
      <c r="R748" s="677" t="s">
        <v>1328</v>
      </c>
    </row>
    <row r="749" spans="2:18" ht="54.95" customHeight="1" x14ac:dyDescent="0.25">
      <c r="B749" s="685">
        <v>43446</v>
      </c>
      <c r="C749" s="662" t="s">
        <v>2351</v>
      </c>
      <c r="D749" s="677" t="s">
        <v>1414</v>
      </c>
      <c r="E749" s="679" t="s">
        <v>1538</v>
      </c>
      <c r="F749" s="652" t="s">
        <v>4473</v>
      </c>
      <c r="G749" s="679" t="s">
        <v>28</v>
      </c>
      <c r="H749" s="679" t="s">
        <v>23</v>
      </c>
      <c r="I749" s="679" t="s">
        <v>1514</v>
      </c>
      <c r="J749" s="684">
        <v>5444</v>
      </c>
      <c r="K749" s="684">
        <v>50.130299999999998</v>
      </c>
      <c r="L749" s="655">
        <f t="shared" si="79"/>
        <v>108.59699622783027</v>
      </c>
      <c r="M749" s="628">
        <v>60</v>
      </c>
      <c r="N749" s="667">
        <f t="shared" si="78"/>
        <v>90.733333333333334</v>
      </c>
      <c r="O749" s="668">
        <f t="shared" ca="1" si="76"/>
        <v>62</v>
      </c>
      <c r="P749" s="655">
        <f t="shared" ca="1" si="77"/>
        <v>-181.46666666666715</v>
      </c>
      <c r="Q749" s="667">
        <f t="shared" ca="1" si="75"/>
        <v>1</v>
      </c>
      <c r="R749" s="677" t="s">
        <v>1328</v>
      </c>
    </row>
    <row r="750" spans="2:18" ht="54.95" customHeight="1" x14ac:dyDescent="0.25">
      <c r="B750" s="685">
        <v>43446</v>
      </c>
      <c r="C750" s="662" t="s">
        <v>2351</v>
      </c>
      <c r="D750" s="677" t="s">
        <v>1414</v>
      </c>
      <c r="E750" s="679" t="s">
        <v>1539</v>
      </c>
      <c r="F750" s="652" t="s">
        <v>4484</v>
      </c>
      <c r="G750" s="679" t="s">
        <v>28</v>
      </c>
      <c r="H750" s="679" t="s">
        <v>23</v>
      </c>
      <c r="I750" s="679" t="s">
        <v>1514</v>
      </c>
      <c r="J750" s="684">
        <v>12096</v>
      </c>
      <c r="K750" s="684">
        <v>50.130299999999998</v>
      </c>
      <c r="L750" s="655">
        <f t="shared" si="79"/>
        <v>241.29119514545096</v>
      </c>
      <c r="M750" s="628">
        <v>60</v>
      </c>
      <c r="N750" s="667">
        <f t="shared" si="78"/>
        <v>201.6</v>
      </c>
      <c r="O750" s="668">
        <f t="shared" ca="1" si="76"/>
        <v>62</v>
      </c>
      <c r="P750" s="655">
        <f t="shared" ca="1" si="77"/>
        <v>-403.19999999999891</v>
      </c>
      <c r="Q750" s="667">
        <f t="shared" ca="1" si="75"/>
        <v>1</v>
      </c>
      <c r="R750" s="677" t="s">
        <v>1328</v>
      </c>
    </row>
    <row r="751" spans="2:18" ht="54.95" customHeight="1" x14ac:dyDescent="0.25">
      <c r="B751" s="685">
        <v>43446</v>
      </c>
      <c r="C751" s="662" t="s">
        <v>2351</v>
      </c>
      <c r="D751" s="677" t="s">
        <v>1414</v>
      </c>
      <c r="E751" s="679" t="s">
        <v>1540</v>
      </c>
      <c r="F751" s="652" t="s">
        <v>1469</v>
      </c>
      <c r="G751" s="679" t="s">
        <v>1541</v>
      </c>
      <c r="H751" s="679" t="s">
        <v>23</v>
      </c>
      <c r="I751" s="679" t="s">
        <v>1514</v>
      </c>
      <c r="J751" s="684">
        <v>40815</v>
      </c>
      <c r="K751" s="684">
        <v>50.130299999999998</v>
      </c>
      <c r="L751" s="655">
        <f t="shared" si="79"/>
        <v>814.17825147665189</v>
      </c>
      <c r="M751" s="628">
        <v>60</v>
      </c>
      <c r="N751" s="667">
        <f t="shared" si="78"/>
        <v>680.25</v>
      </c>
      <c r="O751" s="668">
        <f t="shared" ca="1" si="76"/>
        <v>62</v>
      </c>
      <c r="P751" s="655">
        <f t="shared" ca="1" si="77"/>
        <v>-1360.5</v>
      </c>
      <c r="Q751" s="667">
        <f t="shared" ca="1" si="75"/>
        <v>1</v>
      </c>
      <c r="R751" s="677" t="s">
        <v>1328</v>
      </c>
    </row>
    <row r="752" spans="2:18" ht="54.95" customHeight="1" x14ac:dyDescent="0.25">
      <c r="B752" s="685">
        <v>43446</v>
      </c>
      <c r="C752" s="662" t="s">
        <v>2351</v>
      </c>
      <c r="D752" s="677" t="s">
        <v>1414</v>
      </c>
      <c r="E752" s="679" t="s">
        <v>1542</v>
      </c>
      <c r="F752" s="652" t="s">
        <v>1499</v>
      </c>
      <c r="G752" s="679" t="s">
        <v>28</v>
      </c>
      <c r="H752" s="679" t="s">
        <v>23</v>
      </c>
      <c r="I752" s="679" t="s">
        <v>1514</v>
      </c>
      <c r="J752" s="684">
        <v>16337</v>
      </c>
      <c r="K752" s="684">
        <v>50.130299999999998</v>
      </c>
      <c r="L752" s="655">
        <f t="shared" si="79"/>
        <v>325.89072876084924</v>
      </c>
      <c r="M752" s="628">
        <v>60</v>
      </c>
      <c r="N752" s="667">
        <f t="shared" si="78"/>
        <v>272.28333333333336</v>
      </c>
      <c r="O752" s="668">
        <f t="shared" ca="1" si="76"/>
        <v>62</v>
      </c>
      <c r="P752" s="655">
        <f t="shared" ca="1" si="77"/>
        <v>-544.56666666666933</v>
      </c>
      <c r="Q752" s="667">
        <f t="shared" ca="1" si="75"/>
        <v>1</v>
      </c>
      <c r="R752" s="677" t="s">
        <v>1328</v>
      </c>
    </row>
    <row r="753" spans="2:18" ht="54.95" customHeight="1" x14ac:dyDescent="0.25">
      <c r="B753" s="685">
        <v>43446</v>
      </c>
      <c r="C753" s="662" t="s">
        <v>2351</v>
      </c>
      <c r="D753" s="677" t="s">
        <v>1414</v>
      </c>
      <c r="E753" s="679" t="s">
        <v>1543</v>
      </c>
      <c r="F753" s="652" t="s">
        <v>1501</v>
      </c>
      <c r="G753" s="679" t="s">
        <v>1544</v>
      </c>
      <c r="H753" s="679" t="s">
        <v>23</v>
      </c>
      <c r="I753" s="679" t="s">
        <v>1514</v>
      </c>
      <c r="J753" s="684">
        <v>14152.54</v>
      </c>
      <c r="K753" s="684">
        <v>50.130299999999998</v>
      </c>
      <c r="L753" s="655">
        <f t="shared" si="79"/>
        <v>282.31508688358139</v>
      </c>
      <c r="M753" s="628">
        <v>60</v>
      </c>
      <c r="N753" s="667">
        <f t="shared" si="78"/>
        <v>235.87566666666669</v>
      </c>
      <c r="O753" s="668">
        <f t="shared" ca="1" si="76"/>
        <v>62</v>
      </c>
      <c r="P753" s="655">
        <f t="shared" ca="1" si="77"/>
        <v>-471.7513333333336</v>
      </c>
      <c r="Q753" s="667">
        <f t="shared" ca="1" si="75"/>
        <v>1</v>
      </c>
      <c r="R753" s="677" t="s">
        <v>1328</v>
      </c>
    </row>
    <row r="754" spans="2:18" ht="54.95" customHeight="1" x14ac:dyDescent="0.25">
      <c r="B754" s="685">
        <v>43446</v>
      </c>
      <c r="C754" s="662" t="s">
        <v>2351</v>
      </c>
      <c r="D754" s="677" t="s">
        <v>1414</v>
      </c>
      <c r="E754" s="679" t="s">
        <v>1545</v>
      </c>
      <c r="F754" s="652" t="s">
        <v>1501</v>
      </c>
      <c r="G754" s="679" t="s">
        <v>1546</v>
      </c>
      <c r="H754" s="679" t="s">
        <v>23</v>
      </c>
      <c r="I754" s="651" t="s">
        <v>738</v>
      </c>
      <c r="J754" s="684">
        <v>14152.54</v>
      </c>
      <c r="K754" s="684">
        <v>50.130299999999998</v>
      </c>
      <c r="L754" s="655">
        <f t="shared" si="79"/>
        <v>282.31508688358139</v>
      </c>
      <c r="M754" s="628">
        <v>60</v>
      </c>
      <c r="N754" s="667">
        <f t="shared" si="78"/>
        <v>235.87566666666669</v>
      </c>
      <c r="O754" s="668">
        <f t="shared" ca="1" si="76"/>
        <v>62</v>
      </c>
      <c r="P754" s="655">
        <f t="shared" ca="1" si="77"/>
        <v>-471.7513333333336</v>
      </c>
      <c r="Q754" s="667">
        <f t="shared" ca="1" si="75"/>
        <v>1</v>
      </c>
      <c r="R754" s="677" t="s">
        <v>1328</v>
      </c>
    </row>
    <row r="755" spans="2:18" ht="39.950000000000003" customHeight="1" x14ac:dyDescent="0.25">
      <c r="B755" s="685">
        <v>43446</v>
      </c>
      <c r="C755" s="662" t="s">
        <v>2351</v>
      </c>
      <c r="D755" s="677" t="s">
        <v>1414</v>
      </c>
      <c r="E755" s="679" t="s">
        <v>1547</v>
      </c>
      <c r="F755" s="652" t="s">
        <v>1504</v>
      </c>
      <c r="G755" s="679" t="s">
        <v>1548</v>
      </c>
      <c r="H755" s="679" t="s">
        <v>23</v>
      </c>
      <c r="I755" s="679" t="s">
        <v>1549</v>
      </c>
      <c r="J755" s="684">
        <v>7546.61</v>
      </c>
      <c r="K755" s="684">
        <v>50.130299999999998</v>
      </c>
      <c r="L755" s="655">
        <f t="shared" si="79"/>
        <v>150.53989303874104</v>
      </c>
      <c r="M755" s="628">
        <v>60</v>
      </c>
      <c r="N755" s="667">
        <f t="shared" si="78"/>
        <v>125.77683333333333</v>
      </c>
      <c r="O755" s="668">
        <f t="shared" ca="1" si="76"/>
        <v>62</v>
      </c>
      <c r="P755" s="655">
        <f t="shared" ca="1" si="77"/>
        <v>-251.55366666666669</v>
      </c>
      <c r="Q755" s="667">
        <f t="shared" ca="1" si="75"/>
        <v>1</v>
      </c>
      <c r="R755" s="677" t="s">
        <v>1328</v>
      </c>
    </row>
    <row r="756" spans="2:18" ht="39.950000000000003" customHeight="1" x14ac:dyDescent="0.25">
      <c r="B756" s="685">
        <v>43446</v>
      </c>
      <c r="C756" s="662" t="s">
        <v>2351</v>
      </c>
      <c r="D756" s="677" t="s">
        <v>1414</v>
      </c>
      <c r="E756" s="679" t="s">
        <v>1550</v>
      </c>
      <c r="F756" s="652" t="s">
        <v>1504</v>
      </c>
      <c r="G756" s="679" t="s">
        <v>1551</v>
      </c>
      <c r="H756" s="679" t="s">
        <v>23</v>
      </c>
      <c r="I756" s="679" t="s">
        <v>1514</v>
      </c>
      <c r="J756" s="684">
        <v>7546.61</v>
      </c>
      <c r="K756" s="684">
        <v>50.130299999999998</v>
      </c>
      <c r="L756" s="655">
        <f t="shared" si="79"/>
        <v>150.53989303874104</v>
      </c>
      <c r="M756" s="628">
        <v>60</v>
      </c>
      <c r="N756" s="667">
        <f t="shared" si="78"/>
        <v>125.77683333333333</v>
      </c>
      <c r="O756" s="668">
        <f t="shared" ca="1" si="76"/>
        <v>62</v>
      </c>
      <c r="P756" s="655">
        <f t="shared" ca="1" si="77"/>
        <v>-251.55366666666669</v>
      </c>
      <c r="Q756" s="667">
        <f t="shared" ca="1" si="75"/>
        <v>1</v>
      </c>
      <c r="R756" s="677" t="s">
        <v>1328</v>
      </c>
    </row>
    <row r="757" spans="2:18" ht="48" customHeight="1" x14ac:dyDescent="0.25">
      <c r="B757" s="685">
        <v>43446</v>
      </c>
      <c r="C757" s="662" t="s">
        <v>2351</v>
      </c>
      <c r="D757" s="677" t="s">
        <v>1414</v>
      </c>
      <c r="E757" s="679" t="s">
        <v>1552</v>
      </c>
      <c r="F757" s="652" t="s">
        <v>1504</v>
      </c>
      <c r="G757" s="679" t="s">
        <v>1553</v>
      </c>
      <c r="H757" s="679" t="s">
        <v>23</v>
      </c>
      <c r="I757" s="651" t="s">
        <v>738</v>
      </c>
      <c r="J757" s="684">
        <v>7546.61</v>
      </c>
      <c r="K757" s="684">
        <v>50.130299999999998</v>
      </c>
      <c r="L757" s="655">
        <f>+J757/K757</f>
        <v>150.53989303874104</v>
      </c>
      <c r="M757" s="628">
        <v>60</v>
      </c>
      <c r="N757" s="667">
        <f t="shared" si="78"/>
        <v>125.77683333333333</v>
      </c>
      <c r="O757" s="668">
        <f t="shared" ca="1" si="76"/>
        <v>62</v>
      </c>
      <c r="P757" s="655">
        <f t="shared" ca="1" si="77"/>
        <v>-251.55366666666669</v>
      </c>
      <c r="Q757" s="667">
        <f t="shared" ca="1" si="75"/>
        <v>1</v>
      </c>
      <c r="R757" s="677" t="s">
        <v>1328</v>
      </c>
    </row>
    <row r="758" spans="2:18" ht="54.75" customHeight="1" x14ac:dyDescent="0.25">
      <c r="B758" s="685">
        <v>43446</v>
      </c>
      <c r="C758" s="662" t="s">
        <v>2351</v>
      </c>
      <c r="D758" s="677" t="s">
        <v>1414</v>
      </c>
      <c r="E758" s="679" t="s">
        <v>1554</v>
      </c>
      <c r="F758" s="652" t="s">
        <v>1507</v>
      </c>
      <c r="G758" s="679" t="s">
        <v>1555</v>
      </c>
      <c r="H758" s="679" t="s">
        <v>23</v>
      </c>
      <c r="I758" s="679" t="s">
        <v>1514</v>
      </c>
      <c r="J758" s="684">
        <v>13478.81</v>
      </c>
      <c r="K758" s="684">
        <v>50.130299999999998</v>
      </c>
      <c r="L758" s="655">
        <f t="shared" si="79"/>
        <v>268.87551041984585</v>
      </c>
      <c r="M758" s="628">
        <v>60</v>
      </c>
      <c r="N758" s="667">
        <f t="shared" si="78"/>
        <v>224.64683333333332</v>
      </c>
      <c r="O758" s="668">
        <f t="shared" ca="1" si="76"/>
        <v>62</v>
      </c>
      <c r="P758" s="655">
        <f t="shared" ca="1" si="77"/>
        <v>-449.29366666666647</v>
      </c>
      <c r="Q758" s="667">
        <f t="shared" ca="1" si="75"/>
        <v>1</v>
      </c>
      <c r="R758" s="677" t="s">
        <v>1328</v>
      </c>
    </row>
    <row r="759" spans="2:18" ht="53.25" customHeight="1" x14ac:dyDescent="0.25">
      <c r="B759" s="685">
        <v>43446</v>
      </c>
      <c r="C759" s="662" t="s">
        <v>2351</v>
      </c>
      <c r="D759" s="677" t="s">
        <v>1414</v>
      </c>
      <c r="E759" s="679" t="s">
        <v>1556</v>
      </c>
      <c r="F759" s="652" t="s">
        <v>1501</v>
      </c>
      <c r="G759" s="679" t="s">
        <v>1557</v>
      </c>
      <c r="H759" s="679" t="s">
        <v>1558</v>
      </c>
      <c r="I759" s="679" t="s">
        <v>1549</v>
      </c>
      <c r="J759" s="684">
        <v>14152.54</v>
      </c>
      <c r="K759" s="684">
        <v>50.130299999999998</v>
      </c>
      <c r="L759" s="655">
        <f t="shared" si="79"/>
        <v>282.31508688358139</v>
      </c>
      <c r="M759" s="628">
        <v>60</v>
      </c>
      <c r="N759" s="667">
        <f t="shared" si="78"/>
        <v>235.87566666666669</v>
      </c>
      <c r="O759" s="668">
        <f t="shared" ca="1" si="76"/>
        <v>62</v>
      </c>
      <c r="P759" s="655">
        <f t="shared" ca="1" si="77"/>
        <v>-471.7513333333336</v>
      </c>
      <c r="Q759" s="667">
        <f t="shared" ca="1" si="75"/>
        <v>1</v>
      </c>
      <c r="R759" s="677" t="s">
        <v>1328</v>
      </c>
    </row>
    <row r="760" spans="2:18" ht="39.950000000000003" customHeight="1" x14ac:dyDescent="0.25">
      <c r="B760" s="685">
        <v>43446</v>
      </c>
      <c r="C760" s="662" t="s">
        <v>2351</v>
      </c>
      <c r="D760" s="677" t="s">
        <v>1414</v>
      </c>
      <c r="E760" s="679" t="s">
        <v>1559</v>
      </c>
      <c r="F760" s="652" t="s">
        <v>1507</v>
      </c>
      <c r="G760" s="679" t="s">
        <v>1560</v>
      </c>
      <c r="H760" s="679" t="s">
        <v>1558</v>
      </c>
      <c r="I760" s="679" t="s">
        <v>1549</v>
      </c>
      <c r="J760" s="684">
        <v>13478.81</v>
      </c>
      <c r="K760" s="684">
        <v>50.130299999999998</v>
      </c>
      <c r="L760" s="655">
        <f t="shared" si="79"/>
        <v>268.87551041984585</v>
      </c>
      <c r="M760" s="628">
        <v>60</v>
      </c>
      <c r="N760" s="667">
        <f t="shared" si="78"/>
        <v>224.64683333333332</v>
      </c>
      <c r="O760" s="668">
        <f t="shared" ca="1" si="76"/>
        <v>62</v>
      </c>
      <c r="P760" s="655">
        <f t="shared" ca="1" si="77"/>
        <v>-449.29366666666647</v>
      </c>
      <c r="Q760" s="667">
        <f t="shared" ca="1" si="75"/>
        <v>1</v>
      </c>
      <c r="R760" s="677" t="s">
        <v>1328</v>
      </c>
    </row>
    <row r="761" spans="2:18" ht="51" customHeight="1" x14ac:dyDescent="0.25">
      <c r="B761" s="685">
        <v>43446</v>
      </c>
      <c r="C761" s="662" t="s">
        <v>2351</v>
      </c>
      <c r="D761" s="677" t="s">
        <v>1414</v>
      </c>
      <c r="E761" s="679" t="s">
        <v>1561</v>
      </c>
      <c r="F761" s="652" t="s">
        <v>1501</v>
      </c>
      <c r="G761" s="679" t="s">
        <v>28</v>
      </c>
      <c r="H761" s="679" t="s">
        <v>318</v>
      </c>
      <c r="I761" s="679" t="s">
        <v>1417</v>
      </c>
      <c r="J761" s="684">
        <v>14152.54</v>
      </c>
      <c r="K761" s="684">
        <v>50.130299999999998</v>
      </c>
      <c r="L761" s="655">
        <f t="shared" si="79"/>
        <v>282.31508688358139</v>
      </c>
      <c r="M761" s="628">
        <v>60</v>
      </c>
      <c r="N761" s="667">
        <f t="shared" si="78"/>
        <v>235.87566666666669</v>
      </c>
      <c r="O761" s="668">
        <f t="shared" ca="1" si="76"/>
        <v>62</v>
      </c>
      <c r="P761" s="655">
        <f t="shared" ca="1" si="77"/>
        <v>-471.7513333333336</v>
      </c>
      <c r="Q761" s="667">
        <f t="shared" ca="1" si="75"/>
        <v>1</v>
      </c>
      <c r="R761" s="677" t="s">
        <v>1328</v>
      </c>
    </row>
    <row r="762" spans="2:18" ht="67.5" customHeight="1" x14ac:dyDescent="0.25">
      <c r="B762" s="685">
        <v>43446</v>
      </c>
      <c r="C762" s="662" t="s">
        <v>2351</v>
      </c>
      <c r="D762" s="677" t="s">
        <v>1414</v>
      </c>
      <c r="E762" s="679" t="s">
        <v>1562</v>
      </c>
      <c r="F762" s="652" t="s">
        <v>1469</v>
      </c>
      <c r="G762" s="679" t="s">
        <v>28</v>
      </c>
      <c r="H762" s="679" t="s">
        <v>1563</v>
      </c>
      <c r="I762" s="679" t="s">
        <v>1564</v>
      </c>
      <c r="J762" s="684">
        <v>40815</v>
      </c>
      <c r="K762" s="684">
        <v>50.130299999999998</v>
      </c>
      <c r="L762" s="655">
        <f t="shared" si="79"/>
        <v>814.17825147665189</v>
      </c>
      <c r="M762" s="628">
        <v>60</v>
      </c>
      <c r="N762" s="667">
        <f t="shared" si="78"/>
        <v>680.25</v>
      </c>
      <c r="O762" s="668">
        <f t="shared" ca="1" si="76"/>
        <v>62</v>
      </c>
      <c r="P762" s="655">
        <f t="shared" ca="1" si="77"/>
        <v>-1360.5</v>
      </c>
      <c r="Q762" s="667">
        <f t="shared" ca="1" si="75"/>
        <v>1</v>
      </c>
      <c r="R762" s="677" t="s">
        <v>1328</v>
      </c>
    </row>
    <row r="763" spans="2:18" ht="62.25" customHeight="1" x14ac:dyDescent="0.25">
      <c r="B763" s="685">
        <v>43446</v>
      </c>
      <c r="C763" s="662" t="s">
        <v>2351</v>
      </c>
      <c r="D763" s="677" t="s">
        <v>1414</v>
      </c>
      <c r="E763" s="679" t="s">
        <v>1565</v>
      </c>
      <c r="F763" s="652" t="s">
        <v>1469</v>
      </c>
      <c r="G763" s="679" t="s">
        <v>28</v>
      </c>
      <c r="H763" s="679" t="s">
        <v>1563</v>
      </c>
      <c r="I763" s="679" t="s">
        <v>1564</v>
      </c>
      <c r="J763" s="684">
        <v>40815</v>
      </c>
      <c r="K763" s="684">
        <v>50.130299999999998</v>
      </c>
      <c r="L763" s="655">
        <f t="shared" si="79"/>
        <v>814.17825147665189</v>
      </c>
      <c r="M763" s="628">
        <v>60</v>
      </c>
      <c r="N763" s="667">
        <f t="shared" si="78"/>
        <v>680.25</v>
      </c>
      <c r="O763" s="668">
        <f t="shared" ca="1" si="76"/>
        <v>62</v>
      </c>
      <c r="P763" s="655">
        <f t="shared" ca="1" si="77"/>
        <v>-1360.5</v>
      </c>
      <c r="Q763" s="667">
        <f t="shared" ca="1" si="75"/>
        <v>1</v>
      </c>
      <c r="R763" s="677" t="s">
        <v>1328</v>
      </c>
    </row>
    <row r="764" spans="2:18" ht="49.5" customHeight="1" x14ac:dyDescent="0.25">
      <c r="B764" s="685">
        <v>43446</v>
      </c>
      <c r="C764" s="662" t="s">
        <v>2351</v>
      </c>
      <c r="D764" s="677" t="s">
        <v>1414</v>
      </c>
      <c r="E764" s="679" t="s">
        <v>1566</v>
      </c>
      <c r="F764" s="652" t="s">
        <v>1469</v>
      </c>
      <c r="G764" s="679" t="s">
        <v>28</v>
      </c>
      <c r="H764" s="679" t="s">
        <v>1563</v>
      </c>
      <c r="I764" s="679" t="s">
        <v>1564</v>
      </c>
      <c r="J764" s="684">
        <v>40815</v>
      </c>
      <c r="K764" s="684">
        <v>50.130299999999998</v>
      </c>
      <c r="L764" s="655">
        <f t="shared" si="79"/>
        <v>814.17825147665189</v>
      </c>
      <c r="M764" s="628">
        <v>60</v>
      </c>
      <c r="N764" s="667">
        <f t="shared" si="78"/>
        <v>680.25</v>
      </c>
      <c r="O764" s="668">
        <f t="shared" ca="1" si="76"/>
        <v>62</v>
      </c>
      <c r="P764" s="655">
        <f t="shared" ca="1" si="77"/>
        <v>-1360.5</v>
      </c>
      <c r="Q764" s="667">
        <f t="shared" ca="1" si="75"/>
        <v>1</v>
      </c>
      <c r="R764" s="677" t="s">
        <v>1328</v>
      </c>
    </row>
    <row r="765" spans="2:18" ht="62.25" customHeight="1" x14ac:dyDescent="0.25">
      <c r="B765" s="685">
        <v>43446</v>
      </c>
      <c r="C765" s="662" t="s">
        <v>2351</v>
      </c>
      <c r="D765" s="677" t="s">
        <v>1414</v>
      </c>
      <c r="E765" s="679" t="s">
        <v>1567</v>
      </c>
      <c r="F765" s="652" t="s">
        <v>1501</v>
      </c>
      <c r="G765" s="679" t="s">
        <v>28</v>
      </c>
      <c r="H765" s="679" t="s">
        <v>1563</v>
      </c>
      <c r="I765" s="679" t="s">
        <v>1564</v>
      </c>
      <c r="J765" s="684">
        <v>14152.54</v>
      </c>
      <c r="K765" s="684">
        <v>50.130299999999998</v>
      </c>
      <c r="L765" s="655">
        <f t="shared" si="79"/>
        <v>282.31508688358139</v>
      </c>
      <c r="M765" s="628">
        <v>60</v>
      </c>
      <c r="N765" s="667">
        <f t="shared" si="78"/>
        <v>235.87566666666669</v>
      </c>
      <c r="O765" s="668">
        <f t="shared" ca="1" si="76"/>
        <v>62</v>
      </c>
      <c r="P765" s="655">
        <f t="shared" ca="1" si="77"/>
        <v>-471.7513333333336</v>
      </c>
      <c r="Q765" s="667">
        <f t="shared" ca="1" si="75"/>
        <v>1</v>
      </c>
      <c r="R765" s="677" t="s">
        <v>1328</v>
      </c>
    </row>
    <row r="766" spans="2:18" ht="39.950000000000003" customHeight="1" x14ac:dyDescent="0.25">
      <c r="B766" s="685">
        <v>43446</v>
      </c>
      <c r="C766" s="662" t="s">
        <v>2351</v>
      </c>
      <c r="D766" s="677" t="s">
        <v>1414</v>
      </c>
      <c r="E766" s="679" t="s">
        <v>1568</v>
      </c>
      <c r="F766" s="652" t="s">
        <v>1501</v>
      </c>
      <c r="G766" s="679" t="s">
        <v>28</v>
      </c>
      <c r="H766" s="679" t="s">
        <v>1563</v>
      </c>
      <c r="I766" s="679" t="s">
        <v>1564</v>
      </c>
      <c r="J766" s="684">
        <v>14152.54</v>
      </c>
      <c r="K766" s="684">
        <v>50.130299999999998</v>
      </c>
      <c r="L766" s="655">
        <f t="shared" si="79"/>
        <v>282.31508688358139</v>
      </c>
      <c r="M766" s="628">
        <v>60</v>
      </c>
      <c r="N766" s="667">
        <f t="shared" si="78"/>
        <v>235.87566666666669</v>
      </c>
      <c r="O766" s="668">
        <f t="shared" ca="1" si="76"/>
        <v>62</v>
      </c>
      <c r="P766" s="655">
        <f t="shared" ca="1" si="77"/>
        <v>-471.7513333333336</v>
      </c>
      <c r="Q766" s="667">
        <f t="shared" ca="1" si="75"/>
        <v>1</v>
      </c>
      <c r="R766" s="677" t="s">
        <v>1328</v>
      </c>
    </row>
    <row r="767" spans="2:18" ht="39.950000000000003" customHeight="1" x14ac:dyDescent="0.25">
      <c r="B767" s="685">
        <v>43446</v>
      </c>
      <c r="C767" s="662" t="s">
        <v>2351</v>
      </c>
      <c r="D767" s="677" t="s">
        <v>1414</v>
      </c>
      <c r="E767" s="679" t="s">
        <v>1569</v>
      </c>
      <c r="F767" s="652" t="s">
        <v>1501</v>
      </c>
      <c r="G767" s="679" t="s">
        <v>28</v>
      </c>
      <c r="H767" s="679" t="s">
        <v>1563</v>
      </c>
      <c r="I767" s="679" t="s">
        <v>1564</v>
      </c>
      <c r="J767" s="684">
        <v>14152.54</v>
      </c>
      <c r="K767" s="684">
        <v>50.130299999999998</v>
      </c>
      <c r="L767" s="655">
        <f t="shared" si="79"/>
        <v>282.31508688358139</v>
      </c>
      <c r="M767" s="628">
        <v>60</v>
      </c>
      <c r="N767" s="667">
        <f t="shared" si="78"/>
        <v>235.87566666666669</v>
      </c>
      <c r="O767" s="668">
        <f t="shared" ca="1" si="76"/>
        <v>62</v>
      </c>
      <c r="P767" s="655">
        <f t="shared" ca="1" si="77"/>
        <v>-471.7513333333336</v>
      </c>
      <c r="Q767" s="667">
        <f t="shared" ca="1" si="75"/>
        <v>1</v>
      </c>
      <c r="R767" s="677" t="s">
        <v>1328</v>
      </c>
    </row>
    <row r="768" spans="2:18" ht="39.950000000000003" customHeight="1" x14ac:dyDescent="0.25">
      <c r="B768" s="685">
        <v>43446</v>
      </c>
      <c r="C768" s="662" t="s">
        <v>2351</v>
      </c>
      <c r="D768" s="677" t="s">
        <v>1414</v>
      </c>
      <c r="E768" s="679" t="s">
        <v>1570</v>
      </c>
      <c r="F768" s="652" t="s">
        <v>1507</v>
      </c>
      <c r="G768" s="679" t="s">
        <v>28</v>
      </c>
      <c r="H768" s="679" t="s">
        <v>1563</v>
      </c>
      <c r="I768" s="679" t="s">
        <v>1564</v>
      </c>
      <c r="J768" s="684">
        <v>13478.81</v>
      </c>
      <c r="K768" s="684">
        <v>50.130299999999998</v>
      </c>
      <c r="L768" s="655">
        <f t="shared" si="79"/>
        <v>268.87551041984585</v>
      </c>
      <c r="M768" s="628">
        <v>60</v>
      </c>
      <c r="N768" s="667">
        <f t="shared" si="78"/>
        <v>224.64683333333332</v>
      </c>
      <c r="O768" s="668">
        <f t="shared" ca="1" si="76"/>
        <v>62</v>
      </c>
      <c r="P768" s="655">
        <f t="shared" ca="1" si="77"/>
        <v>-449.29366666666647</v>
      </c>
      <c r="Q768" s="667">
        <f t="shared" ca="1" si="75"/>
        <v>1</v>
      </c>
      <c r="R768" s="677" t="s">
        <v>1328</v>
      </c>
    </row>
    <row r="769" spans="1:18" ht="39.950000000000003" customHeight="1" x14ac:dyDescent="0.25">
      <c r="B769" s="685">
        <v>43446</v>
      </c>
      <c r="C769" s="662" t="s">
        <v>2351</v>
      </c>
      <c r="D769" s="677" t="s">
        <v>1414</v>
      </c>
      <c r="E769" s="679" t="s">
        <v>1571</v>
      </c>
      <c r="F769" s="652" t="s">
        <v>1469</v>
      </c>
      <c r="G769" s="679" t="s">
        <v>28</v>
      </c>
      <c r="H769" s="679" t="s">
        <v>1511</v>
      </c>
      <c r="I769" s="679" t="s">
        <v>1512</v>
      </c>
      <c r="J769" s="684">
        <v>40815</v>
      </c>
      <c r="K769" s="684">
        <v>50.130299999999998</v>
      </c>
      <c r="L769" s="655">
        <f t="shared" si="79"/>
        <v>814.17825147665189</v>
      </c>
      <c r="M769" s="628">
        <v>60</v>
      </c>
      <c r="N769" s="667">
        <f t="shared" si="78"/>
        <v>680.25</v>
      </c>
      <c r="O769" s="668">
        <f t="shared" ca="1" si="76"/>
        <v>62</v>
      </c>
      <c r="P769" s="655">
        <f t="shared" ca="1" si="77"/>
        <v>-1360.5</v>
      </c>
      <c r="Q769" s="667">
        <f t="shared" ca="1" si="75"/>
        <v>1</v>
      </c>
      <c r="R769" s="677" t="s">
        <v>1328</v>
      </c>
    </row>
    <row r="770" spans="1:18" ht="65.25" customHeight="1" x14ac:dyDescent="0.25">
      <c r="B770" s="685">
        <v>43446</v>
      </c>
      <c r="C770" s="662" t="s">
        <v>2351</v>
      </c>
      <c r="D770" s="677" t="s">
        <v>1414</v>
      </c>
      <c r="E770" s="679" t="s">
        <v>1572</v>
      </c>
      <c r="F770" s="652" t="s">
        <v>1501</v>
      </c>
      <c r="G770" s="679" t="s">
        <v>28</v>
      </c>
      <c r="H770" s="679" t="s">
        <v>1511</v>
      </c>
      <c r="I770" s="679" t="s">
        <v>1512</v>
      </c>
      <c r="J770" s="684">
        <v>14152.54</v>
      </c>
      <c r="K770" s="684">
        <v>50.130299999999998</v>
      </c>
      <c r="L770" s="655">
        <f t="shared" si="79"/>
        <v>282.31508688358139</v>
      </c>
      <c r="M770" s="628">
        <v>60</v>
      </c>
      <c r="N770" s="667">
        <f t="shared" si="78"/>
        <v>235.87566666666669</v>
      </c>
      <c r="O770" s="668">
        <f t="shared" ca="1" si="76"/>
        <v>62</v>
      </c>
      <c r="P770" s="655">
        <f t="shared" ca="1" si="77"/>
        <v>-471.7513333333336</v>
      </c>
      <c r="Q770" s="667">
        <f t="shared" ca="1" si="75"/>
        <v>1</v>
      </c>
      <c r="R770" s="677" t="s">
        <v>1328</v>
      </c>
    </row>
    <row r="771" spans="1:18" ht="39.950000000000003" customHeight="1" x14ac:dyDescent="0.25">
      <c r="B771" s="685">
        <v>43446</v>
      </c>
      <c r="C771" s="662" t="s">
        <v>2351</v>
      </c>
      <c r="D771" s="677" t="s">
        <v>1414</v>
      </c>
      <c r="E771" s="679" t="s">
        <v>1573</v>
      </c>
      <c r="F771" s="652" t="s">
        <v>1501</v>
      </c>
      <c r="G771" s="679" t="s">
        <v>28</v>
      </c>
      <c r="H771" s="679" t="s">
        <v>1511</v>
      </c>
      <c r="I771" s="679" t="s">
        <v>1512</v>
      </c>
      <c r="J771" s="684">
        <v>14152.54</v>
      </c>
      <c r="K771" s="684">
        <v>50.130299999999998</v>
      </c>
      <c r="L771" s="655">
        <f t="shared" si="79"/>
        <v>282.31508688358139</v>
      </c>
      <c r="M771" s="628">
        <v>60</v>
      </c>
      <c r="N771" s="667">
        <f t="shared" si="78"/>
        <v>235.87566666666669</v>
      </c>
      <c r="O771" s="668">
        <f t="shared" ca="1" si="76"/>
        <v>62</v>
      </c>
      <c r="P771" s="655">
        <f t="shared" ca="1" si="77"/>
        <v>-471.7513333333336</v>
      </c>
      <c r="Q771" s="667">
        <f t="shared" ca="1" si="75"/>
        <v>1</v>
      </c>
      <c r="R771" s="677" t="s">
        <v>1328</v>
      </c>
    </row>
    <row r="772" spans="1:18" ht="39.950000000000003" customHeight="1" x14ac:dyDescent="0.25">
      <c r="B772" s="685">
        <v>43446</v>
      </c>
      <c r="C772" s="662" t="s">
        <v>2351</v>
      </c>
      <c r="D772" s="677" t="s">
        <v>1414</v>
      </c>
      <c r="E772" s="679" t="s">
        <v>1574</v>
      </c>
      <c r="F772" s="652" t="s">
        <v>1507</v>
      </c>
      <c r="G772" s="679" t="s">
        <v>28</v>
      </c>
      <c r="H772" s="679" t="s">
        <v>1511</v>
      </c>
      <c r="I772" s="679" t="s">
        <v>1512</v>
      </c>
      <c r="J772" s="684">
        <v>13478.81</v>
      </c>
      <c r="K772" s="684">
        <v>50.130299999999998</v>
      </c>
      <c r="L772" s="655">
        <f t="shared" si="79"/>
        <v>268.87551041984585</v>
      </c>
      <c r="M772" s="628">
        <v>60</v>
      </c>
      <c r="N772" s="667">
        <f t="shared" si="78"/>
        <v>224.64683333333332</v>
      </c>
      <c r="O772" s="668">
        <f t="shared" ca="1" si="76"/>
        <v>62</v>
      </c>
      <c r="P772" s="655">
        <f t="shared" ca="1" si="77"/>
        <v>-449.29366666666647</v>
      </c>
      <c r="Q772" s="667">
        <f t="shared" ca="1" si="75"/>
        <v>1</v>
      </c>
      <c r="R772" s="677" t="s">
        <v>1328</v>
      </c>
    </row>
    <row r="773" spans="1:18" ht="39.950000000000003" customHeight="1" x14ac:dyDescent="0.25">
      <c r="B773" s="685">
        <v>43446</v>
      </c>
      <c r="C773" s="662" t="s">
        <v>2351</v>
      </c>
      <c r="D773" s="677" t="s">
        <v>1414</v>
      </c>
      <c r="E773" s="679" t="s">
        <v>1575</v>
      </c>
      <c r="F773" s="652" t="s">
        <v>1576</v>
      </c>
      <c r="G773" s="679" t="s">
        <v>28</v>
      </c>
      <c r="H773" s="679" t="s">
        <v>23</v>
      </c>
      <c r="I773" s="679" t="s">
        <v>1514</v>
      </c>
      <c r="J773" s="684">
        <v>60000</v>
      </c>
      <c r="K773" s="684">
        <v>50.130299999999998</v>
      </c>
      <c r="L773" s="655">
        <f t="shared" si="79"/>
        <v>1196.8809283008479</v>
      </c>
      <c r="M773" s="628">
        <v>60</v>
      </c>
      <c r="N773" s="667">
        <f t="shared" si="78"/>
        <v>1000</v>
      </c>
      <c r="O773" s="668">
        <f t="shared" ca="1" si="76"/>
        <v>62</v>
      </c>
      <c r="P773" s="655">
        <f t="shared" ca="1" si="77"/>
        <v>-2000</v>
      </c>
      <c r="Q773" s="667">
        <f t="shared" ca="1" si="75"/>
        <v>1</v>
      </c>
      <c r="R773" s="677" t="s">
        <v>1328</v>
      </c>
    </row>
    <row r="774" spans="1:18" ht="50.25" customHeight="1" x14ac:dyDescent="0.25">
      <c r="B774" s="685">
        <v>43446</v>
      </c>
      <c r="C774" s="662" t="s">
        <v>2351</v>
      </c>
      <c r="D774" s="677" t="s">
        <v>1414</v>
      </c>
      <c r="E774" s="679" t="s">
        <v>1577</v>
      </c>
      <c r="F774" s="652" t="s">
        <v>1576</v>
      </c>
      <c r="G774" s="679" t="s">
        <v>28</v>
      </c>
      <c r="H774" s="679" t="s">
        <v>23</v>
      </c>
      <c r="I774" s="679" t="s">
        <v>1514</v>
      </c>
      <c r="J774" s="684">
        <v>60000</v>
      </c>
      <c r="K774" s="684">
        <v>50.130299999999998</v>
      </c>
      <c r="L774" s="655">
        <f t="shared" si="79"/>
        <v>1196.8809283008479</v>
      </c>
      <c r="M774" s="628">
        <v>60</v>
      </c>
      <c r="N774" s="667">
        <f t="shared" si="78"/>
        <v>1000</v>
      </c>
      <c r="O774" s="668">
        <f t="shared" ca="1" si="76"/>
        <v>62</v>
      </c>
      <c r="P774" s="655">
        <f t="shared" ca="1" si="77"/>
        <v>-2000</v>
      </c>
      <c r="Q774" s="667">
        <f t="shared" ca="1" si="75"/>
        <v>1</v>
      </c>
      <c r="R774" s="677" t="s">
        <v>1328</v>
      </c>
    </row>
    <row r="775" spans="1:18" ht="50.25" customHeight="1" x14ac:dyDescent="0.25">
      <c r="B775" s="685">
        <v>43446</v>
      </c>
      <c r="C775" s="662" t="s">
        <v>2351</v>
      </c>
      <c r="D775" s="677" t="s">
        <v>1414</v>
      </c>
      <c r="E775" s="679" t="s">
        <v>1578</v>
      </c>
      <c r="F775" s="652" t="s">
        <v>1428</v>
      </c>
      <c r="G775" s="679" t="s">
        <v>28</v>
      </c>
      <c r="H775" s="679" t="s">
        <v>23</v>
      </c>
      <c r="I775" s="679" t="s">
        <v>1514</v>
      </c>
      <c r="J775" s="684">
        <v>9520</v>
      </c>
      <c r="K775" s="684">
        <v>50.130299999999998</v>
      </c>
      <c r="L775" s="655">
        <f t="shared" si="79"/>
        <v>189.90510729040122</v>
      </c>
      <c r="M775" s="628">
        <v>60</v>
      </c>
      <c r="N775" s="667">
        <f t="shared" si="78"/>
        <v>158.66666666666666</v>
      </c>
      <c r="O775" s="668">
        <f t="shared" ca="1" si="76"/>
        <v>62</v>
      </c>
      <c r="P775" s="655">
        <f t="shared" ca="1" si="77"/>
        <v>-317.33333333333212</v>
      </c>
      <c r="Q775" s="667">
        <f t="shared" ca="1" si="75"/>
        <v>1</v>
      </c>
      <c r="R775" s="677" t="s">
        <v>1328</v>
      </c>
    </row>
    <row r="776" spans="1:18" ht="45.75" customHeight="1" x14ac:dyDescent="0.25">
      <c r="B776" s="685">
        <v>43446</v>
      </c>
      <c r="C776" s="662" t="s">
        <v>2351</v>
      </c>
      <c r="D776" s="677" t="s">
        <v>1414</v>
      </c>
      <c r="E776" s="679" t="s">
        <v>1579</v>
      </c>
      <c r="F776" s="652" t="s">
        <v>1428</v>
      </c>
      <c r="G776" s="679" t="s">
        <v>28</v>
      </c>
      <c r="H776" s="679" t="s">
        <v>23</v>
      </c>
      <c r="I776" s="679" t="s">
        <v>1514</v>
      </c>
      <c r="J776" s="684">
        <v>9520</v>
      </c>
      <c r="K776" s="684">
        <v>50.130299999999998</v>
      </c>
      <c r="L776" s="655">
        <f t="shared" si="79"/>
        <v>189.90510729040122</v>
      </c>
      <c r="M776" s="628">
        <v>60</v>
      </c>
      <c r="N776" s="667">
        <f t="shared" si="78"/>
        <v>158.66666666666666</v>
      </c>
      <c r="O776" s="668">
        <f t="shared" ca="1" si="76"/>
        <v>62</v>
      </c>
      <c r="P776" s="655">
        <f t="shared" ca="1" si="77"/>
        <v>-317.33333333333212</v>
      </c>
      <c r="Q776" s="667">
        <f t="shared" ref="Q776:Q839" ca="1" si="80">IF(P776&lt;1,1,P776)</f>
        <v>1</v>
      </c>
      <c r="R776" s="677" t="s">
        <v>1328</v>
      </c>
    </row>
    <row r="777" spans="1:18" ht="49.5" customHeight="1" x14ac:dyDescent="0.25">
      <c r="B777" s="685">
        <v>43446</v>
      </c>
      <c r="C777" s="662" t="s">
        <v>2351</v>
      </c>
      <c r="D777" s="677" t="s">
        <v>1414</v>
      </c>
      <c r="E777" s="679" t="s">
        <v>1580</v>
      </c>
      <c r="F777" s="652" t="s">
        <v>1428</v>
      </c>
      <c r="G777" s="679" t="s">
        <v>28</v>
      </c>
      <c r="H777" s="679" t="s">
        <v>23</v>
      </c>
      <c r="I777" s="679" t="s">
        <v>1514</v>
      </c>
      <c r="J777" s="684">
        <v>9520</v>
      </c>
      <c r="K777" s="684">
        <v>50.130299999999998</v>
      </c>
      <c r="L777" s="655">
        <f t="shared" si="79"/>
        <v>189.90510729040122</v>
      </c>
      <c r="M777" s="628">
        <v>60</v>
      </c>
      <c r="N777" s="667">
        <f t="shared" si="78"/>
        <v>158.66666666666666</v>
      </c>
      <c r="O777" s="668">
        <f t="shared" ca="1" si="76"/>
        <v>62</v>
      </c>
      <c r="P777" s="655">
        <f t="shared" ca="1" si="77"/>
        <v>-317.33333333333212</v>
      </c>
      <c r="Q777" s="667">
        <f t="shared" ca="1" si="80"/>
        <v>1</v>
      </c>
      <c r="R777" s="677" t="s">
        <v>1328</v>
      </c>
    </row>
    <row r="778" spans="1:18" ht="45.75" customHeight="1" x14ac:dyDescent="0.25">
      <c r="B778" s="685">
        <v>43446</v>
      </c>
      <c r="C778" s="662" t="s">
        <v>2351</v>
      </c>
      <c r="D778" s="677" t="s">
        <v>1414</v>
      </c>
      <c r="E778" s="679" t="s">
        <v>1581</v>
      </c>
      <c r="F778" s="652" t="s">
        <v>1428</v>
      </c>
      <c r="G778" s="679" t="s">
        <v>28</v>
      </c>
      <c r="H778" s="679" t="s">
        <v>23</v>
      </c>
      <c r="I778" s="679" t="s">
        <v>1514</v>
      </c>
      <c r="J778" s="684">
        <v>9520</v>
      </c>
      <c r="K778" s="684">
        <v>50.130299999999998</v>
      </c>
      <c r="L778" s="655">
        <f t="shared" si="79"/>
        <v>189.90510729040122</v>
      </c>
      <c r="M778" s="628">
        <v>60</v>
      </c>
      <c r="N778" s="667">
        <f t="shared" si="78"/>
        <v>158.66666666666666</v>
      </c>
      <c r="O778" s="668">
        <f t="shared" ca="1" si="76"/>
        <v>62</v>
      </c>
      <c r="P778" s="655">
        <f t="shared" ca="1" si="77"/>
        <v>-317.33333333333212</v>
      </c>
      <c r="Q778" s="667">
        <f t="shared" ca="1" si="80"/>
        <v>1</v>
      </c>
      <c r="R778" s="677" t="s">
        <v>1328</v>
      </c>
    </row>
    <row r="779" spans="1:18" ht="60" customHeight="1" x14ac:dyDescent="0.25">
      <c r="B779" s="685">
        <v>43446</v>
      </c>
      <c r="C779" s="662" t="s">
        <v>2351</v>
      </c>
      <c r="D779" s="677" t="s">
        <v>1414</v>
      </c>
      <c r="E779" s="679" t="s">
        <v>1582</v>
      </c>
      <c r="F779" s="652" t="s">
        <v>1444</v>
      </c>
      <c r="G779" s="679" t="s">
        <v>28</v>
      </c>
      <c r="H779" s="679" t="s">
        <v>23</v>
      </c>
      <c r="I779" s="679" t="s">
        <v>1514</v>
      </c>
      <c r="J779" s="684">
        <v>14616</v>
      </c>
      <c r="K779" s="684">
        <v>50.130299999999998</v>
      </c>
      <c r="L779" s="655">
        <f t="shared" si="79"/>
        <v>291.5601941340866</v>
      </c>
      <c r="M779" s="628">
        <v>60</v>
      </c>
      <c r="N779" s="667">
        <f t="shared" si="78"/>
        <v>243.6</v>
      </c>
      <c r="O779" s="668">
        <f t="shared" ca="1" si="76"/>
        <v>62</v>
      </c>
      <c r="P779" s="655">
        <f t="shared" ca="1" si="77"/>
        <v>-487.19999999999891</v>
      </c>
      <c r="Q779" s="667">
        <f t="shared" ca="1" si="80"/>
        <v>1</v>
      </c>
      <c r="R779" s="677" t="s">
        <v>1328</v>
      </c>
    </row>
    <row r="780" spans="1:18" ht="53.25" customHeight="1" x14ac:dyDescent="0.25">
      <c r="B780" s="685">
        <v>43446</v>
      </c>
      <c r="C780" s="662" t="s">
        <v>2351</v>
      </c>
      <c r="D780" s="677" t="s">
        <v>1414</v>
      </c>
      <c r="E780" s="679" t="s">
        <v>1583</v>
      </c>
      <c r="F780" s="652" t="s">
        <v>1462</v>
      </c>
      <c r="G780" s="679" t="s">
        <v>28</v>
      </c>
      <c r="H780" s="679" t="s">
        <v>23</v>
      </c>
      <c r="I780" s="679" t="s">
        <v>1514</v>
      </c>
      <c r="J780" s="684">
        <v>2066</v>
      </c>
      <c r="K780" s="684">
        <v>50.130299999999998</v>
      </c>
      <c r="L780" s="655">
        <f t="shared" si="79"/>
        <v>41.212599964492533</v>
      </c>
      <c r="M780" s="628">
        <v>60</v>
      </c>
      <c r="N780" s="667">
        <f t="shared" si="78"/>
        <v>34.43333333333333</v>
      </c>
      <c r="O780" s="668">
        <f t="shared" ca="1" si="76"/>
        <v>62</v>
      </c>
      <c r="P780" s="655">
        <f t="shared" ca="1" si="77"/>
        <v>-68.866666666666333</v>
      </c>
      <c r="Q780" s="667">
        <f t="shared" ca="1" si="80"/>
        <v>1</v>
      </c>
      <c r="R780" s="677" t="s">
        <v>1328</v>
      </c>
    </row>
    <row r="781" spans="1:18" ht="53.25" customHeight="1" x14ac:dyDescent="0.25">
      <c r="B781" s="685">
        <v>43446</v>
      </c>
      <c r="C781" s="662" t="s">
        <v>2351</v>
      </c>
      <c r="D781" s="677" t="s">
        <v>1414</v>
      </c>
      <c r="E781" s="679" t="s">
        <v>1584</v>
      </c>
      <c r="F781" s="652" t="s">
        <v>1462</v>
      </c>
      <c r="G781" s="679" t="s">
        <v>28</v>
      </c>
      <c r="H781" s="679" t="s">
        <v>23</v>
      </c>
      <c r="I781" s="679" t="s">
        <v>1514</v>
      </c>
      <c r="J781" s="684">
        <v>2066</v>
      </c>
      <c r="K781" s="684">
        <v>50.130299999999998</v>
      </c>
      <c r="L781" s="655">
        <f t="shared" si="79"/>
        <v>41.212599964492533</v>
      </c>
      <c r="M781" s="628">
        <v>60</v>
      </c>
      <c r="N781" s="667">
        <f t="shared" si="78"/>
        <v>34.43333333333333</v>
      </c>
      <c r="O781" s="668">
        <f t="shared" ca="1" si="76"/>
        <v>62</v>
      </c>
      <c r="P781" s="655">
        <f t="shared" ca="1" si="77"/>
        <v>-68.866666666666333</v>
      </c>
      <c r="Q781" s="667">
        <f t="shared" ca="1" si="80"/>
        <v>1</v>
      </c>
      <c r="R781" s="677" t="s">
        <v>1328</v>
      </c>
    </row>
    <row r="782" spans="1:18" ht="53.25" customHeight="1" x14ac:dyDescent="0.25">
      <c r="B782" s="685">
        <v>43446</v>
      </c>
      <c r="C782" s="662" t="s">
        <v>2351</v>
      </c>
      <c r="D782" s="677" t="s">
        <v>1414</v>
      </c>
      <c r="E782" s="679" t="s">
        <v>1585</v>
      </c>
      <c r="F782" s="652" t="s">
        <v>1440</v>
      </c>
      <c r="G782" s="679" t="s">
        <v>28</v>
      </c>
      <c r="H782" s="679" t="s">
        <v>23</v>
      </c>
      <c r="I782" s="679" t="s">
        <v>1514</v>
      </c>
      <c r="J782" s="684">
        <v>3024</v>
      </c>
      <c r="K782" s="684">
        <v>50.130299999999998</v>
      </c>
      <c r="L782" s="655">
        <f t="shared" si="79"/>
        <v>60.322798786362739</v>
      </c>
      <c r="M782" s="628">
        <v>60</v>
      </c>
      <c r="N782" s="667">
        <f t="shared" si="78"/>
        <v>50.4</v>
      </c>
      <c r="O782" s="668">
        <f t="shared" ca="1" si="76"/>
        <v>62</v>
      </c>
      <c r="P782" s="655">
        <f t="shared" ca="1" si="77"/>
        <v>-100.79999999999973</v>
      </c>
      <c r="Q782" s="667">
        <f t="shared" ca="1" si="80"/>
        <v>1</v>
      </c>
      <c r="R782" s="677" t="s">
        <v>1328</v>
      </c>
    </row>
    <row r="783" spans="1:18" ht="63.75" customHeight="1" x14ac:dyDescent="0.25">
      <c r="B783" s="685">
        <v>43446</v>
      </c>
      <c r="C783" s="662" t="s">
        <v>2351</v>
      </c>
      <c r="D783" s="677" t="s">
        <v>1414</v>
      </c>
      <c r="E783" s="679" t="s">
        <v>1586</v>
      </c>
      <c r="F783" s="652" t="s">
        <v>4485</v>
      </c>
      <c r="G783" s="679" t="s">
        <v>28</v>
      </c>
      <c r="H783" s="679" t="s">
        <v>23</v>
      </c>
      <c r="I783" s="679" t="s">
        <v>1514</v>
      </c>
      <c r="J783" s="684">
        <v>64900</v>
      </c>
      <c r="K783" s="684">
        <v>50.130299999999998</v>
      </c>
      <c r="L783" s="655">
        <f t="shared" si="79"/>
        <v>1294.626204112084</v>
      </c>
      <c r="M783" s="628">
        <v>60</v>
      </c>
      <c r="N783" s="667">
        <f t="shared" si="78"/>
        <v>1081.6666666666667</v>
      </c>
      <c r="O783" s="668">
        <f t="shared" ref="O783:O842" ca="1" si="81">IF(B783&lt;&gt;0,(ROUND((NOW()-B783)/30,0)),0)</f>
        <v>62</v>
      </c>
      <c r="P783" s="655">
        <f t="shared" ca="1" si="77"/>
        <v>-2163.333333333343</v>
      </c>
      <c r="Q783" s="667">
        <f t="shared" ca="1" si="80"/>
        <v>1</v>
      </c>
      <c r="R783" s="677" t="s">
        <v>1328</v>
      </c>
    </row>
    <row r="784" spans="1:18" ht="80.25" customHeight="1" x14ac:dyDescent="0.25">
      <c r="A784" s="431"/>
      <c r="B784" s="685">
        <v>43501</v>
      </c>
      <c r="C784" s="662" t="s">
        <v>2351</v>
      </c>
      <c r="D784" s="677" t="s">
        <v>1587</v>
      </c>
      <c r="E784" s="679" t="s">
        <v>1588</v>
      </c>
      <c r="F784" s="652" t="s">
        <v>4486</v>
      </c>
      <c r="G784" s="679" t="s">
        <v>28</v>
      </c>
      <c r="H784" s="679" t="s">
        <v>23</v>
      </c>
      <c r="I784" s="679" t="s">
        <v>1514</v>
      </c>
      <c r="J784" s="684">
        <v>4368</v>
      </c>
      <c r="K784" s="684">
        <v>50.130299999999998</v>
      </c>
      <c r="L784" s="655">
        <f t="shared" si="79"/>
        <v>87.132931580301744</v>
      </c>
      <c r="M784" s="628">
        <v>60</v>
      </c>
      <c r="N784" s="667">
        <f t="shared" si="78"/>
        <v>72.8</v>
      </c>
      <c r="O784" s="668">
        <f t="shared" ca="1" si="81"/>
        <v>60</v>
      </c>
      <c r="P784" s="655">
        <f t="shared" ref="P784:P843" ca="1" si="82">IF(OR(J784=0,M784=0,O784=0),0,J784-(N784*O784))</f>
        <v>0</v>
      </c>
      <c r="Q784" s="667">
        <f t="shared" ca="1" si="80"/>
        <v>1</v>
      </c>
      <c r="R784" s="677" t="s">
        <v>1589</v>
      </c>
    </row>
    <row r="785" spans="1:18" ht="65.25" customHeight="1" x14ac:dyDescent="0.25">
      <c r="A785" s="431"/>
      <c r="B785" s="685">
        <v>43501</v>
      </c>
      <c r="C785" s="662" t="s">
        <v>2351</v>
      </c>
      <c r="D785" s="677" t="s">
        <v>1587</v>
      </c>
      <c r="E785" s="679" t="s">
        <v>1590</v>
      </c>
      <c r="F785" s="652" t="s">
        <v>4487</v>
      </c>
      <c r="G785" s="679" t="s">
        <v>28</v>
      </c>
      <c r="H785" s="679" t="s">
        <v>23</v>
      </c>
      <c r="I785" s="679" t="s">
        <v>1514</v>
      </c>
      <c r="J785" s="684">
        <v>91</v>
      </c>
      <c r="K785" s="684">
        <v>50.130299999999998</v>
      </c>
      <c r="L785" s="655">
        <f t="shared" si="79"/>
        <v>1.8152694079229528</v>
      </c>
      <c r="M785" s="628">
        <v>60</v>
      </c>
      <c r="N785" s="667">
        <f t="shared" si="78"/>
        <v>1.5166666666666666</v>
      </c>
      <c r="O785" s="668">
        <f t="shared" ca="1" si="81"/>
        <v>60</v>
      </c>
      <c r="P785" s="655">
        <f t="shared" ca="1" si="82"/>
        <v>0</v>
      </c>
      <c r="Q785" s="667">
        <f t="shared" ca="1" si="80"/>
        <v>1</v>
      </c>
      <c r="R785" s="677" t="s">
        <v>1589</v>
      </c>
    </row>
    <row r="786" spans="1:18" ht="72" customHeight="1" x14ac:dyDescent="0.25">
      <c r="A786" s="431"/>
      <c r="B786" s="685">
        <v>43501</v>
      </c>
      <c r="C786" s="662" t="s">
        <v>2351</v>
      </c>
      <c r="D786" s="677" t="s">
        <v>1587</v>
      </c>
      <c r="E786" s="679" t="s">
        <v>1591</v>
      </c>
      <c r="F786" s="652" t="s">
        <v>4488</v>
      </c>
      <c r="G786" s="679" t="s">
        <v>28</v>
      </c>
      <c r="H786" s="679" t="s">
        <v>23</v>
      </c>
      <c r="I786" s="679" t="s">
        <v>1514</v>
      </c>
      <c r="J786" s="684">
        <v>5096</v>
      </c>
      <c r="K786" s="684">
        <v>50.130299999999998</v>
      </c>
      <c r="L786" s="655">
        <f t="shared" si="79"/>
        <v>101.65508684368535</v>
      </c>
      <c r="M786" s="628">
        <v>60</v>
      </c>
      <c r="N786" s="667">
        <f t="shared" ref="N786:N849" si="83">IF(AND(J786&lt;&gt;0,M786&lt;&gt;0),J786/M786,0)</f>
        <v>84.933333333333337</v>
      </c>
      <c r="O786" s="668">
        <f t="shared" ca="1" si="81"/>
        <v>60</v>
      </c>
      <c r="P786" s="655">
        <f t="shared" ca="1" si="82"/>
        <v>0</v>
      </c>
      <c r="Q786" s="667">
        <f t="shared" ca="1" si="80"/>
        <v>1</v>
      </c>
      <c r="R786" s="677" t="s">
        <v>1589</v>
      </c>
    </row>
    <row r="787" spans="1:18" ht="65.25" customHeight="1" x14ac:dyDescent="0.25">
      <c r="B787" s="649">
        <v>43654</v>
      </c>
      <c r="C787" s="662" t="s">
        <v>2351</v>
      </c>
      <c r="D787" s="651" t="s">
        <v>1592</v>
      </c>
      <c r="E787" s="651" t="s">
        <v>1593</v>
      </c>
      <c r="F787" s="663" t="s">
        <v>1594</v>
      </c>
      <c r="G787" s="651" t="s">
        <v>28</v>
      </c>
      <c r="H787" s="651" t="s">
        <v>1595</v>
      </c>
      <c r="I787" s="651" t="s">
        <v>1596</v>
      </c>
      <c r="J787" s="684">
        <v>1912000</v>
      </c>
      <c r="K787" s="684">
        <v>50.7102</v>
      </c>
      <c r="L787" s="655">
        <f t="shared" si="79"/>
        <v>37704.446048329526</v>
      </c>
      <c r="M787" s="628">
        <v>60</v>
      </c>
      <c r="N787" s="667">
        <f t="shared" si="83"/>
        <v>31866.666666666668</v>
      </c>
      <c r="O787" s="668">
        <f t="shared" ca="1" si="81"/>
        <v>55</v>
      </c>
      <c r="P787" s="655">
        <f t="shared" ca="1" si="82"/>
        <v>159333.33333333326</v>
      </c>
      <c r="Q787" s="667">
        <f t="shared" ca="1" si="80"/>
        <v>159333.33333333326</v>
      </c>
      <c r="R787" s="669" t="s">
        <v>1597</v>
      </c>
    </row>
    <row r="788" spans="1:18" ht="42.75" x14ac:dyDescent="0.25">
      <c r="B788" s="649">
        <v>43654</v>
      </c>
      <c r="C788" s="662" t="s">
        <v>2351</v>
      </c>
      <c r="D788" s="651" t="s">
        <v>1592</v>
      </c>
      <c r="E788" s="651" t="s">
        <v>1598</v>
      </c>
      <c r="F788" s="663" t="s">
        <v>1599</v>
      </c>
      <c r="G788" s="651" t="s">
        <v>1600</v>
      </c>
      <c r="H788" s="651" t="s">
        <v>1595</v>
      </c>
      <c r="I788" s="651" t="s">
        <v>1596</v>
      </c>
      <c r="J788" s="684">
        <v>9960</v>
      </c>
      <c r="K788" s="684">
        <v>50.7102</v>
      </c>
      <c r="L788" s="655">
        <f t="shared" si="79"/>
        <v>196.41018966598435</v>
      </c>
      <c r="M788" s="628">
        <v>60</v>
      </c>
      <c r="N788" s="667">
        <f t="shared" si="83"/>
        <v>166</v>
      </c>
      <c r="O788" s="668">
        <f t="shared" ca="1" si="81"/>
        <v>55</v>
      </c>
      <c r="P788" s="655">
        <f t="shared" ca="1" si="82"/>
        <v>830</v>
      </c>
      <c r="Q788" s="667">
        <f t="shared" ca="1" si="80"/>
        <v>830</v>
      </c>
      <c r="R788" s="669" t="s">
        <v>1597</v>
      </c>
    </row>
    <row r="789" spans="1:18" ht="39.950000000000003" customHeight="1" x14ac:dyDescent="0.25">
      <c r="B789" s="649">
        <v>43654</v>
      </c>
      <c r="C789" s="662" t="s">
        <v>2351</v>
      </c>
      <c r="D789" s="651" t="s">
        <v>1592</v>
      </c>
      <c r="E789" s="651" t="s">
        <v>1601</v>
      </c>
      <c r="F789" s="663" t="s">
        <v>1599</v>
      </c>
      <c r="G789" s="651" t="s">
        <v>1602</v>
      </c>
      <c r="H789" s="651" t="s">
        <v>1595</v>
      </c>
      <c r="I789" s="651" t="s">
        <v>1596</v>
      </c>
      <c r="J789" s="684">
        <v>9960</v>
      </c>
      <c r="K789" s="684">
        <v>50.7102</v>
      </c>
      <c r="L789" s="655">
        <f t="shared" si="79"/>
        <v>196.41018966598435</v>
      </c>
      <c r="M789" s="628">
        <v>60</v>
      </c>
      <c r="N789" s="667">
        <f t="shared" si="83"/>
        <v>166</v>
      </c>
      <c r="O789" s="668">
        <f t="shared" ca="1" si="81"/>
        <v>55</v>
      </c>
      <c r="P789" s="655">
        <f t="shared" ca="1" si="82"/>
        <v>830</v>
      </c>
      <c r="Q789" s="667">
        <f t="shared" ca="1" si="80"/>
        <v>830</v>
      </c>
      <c r="R789" s="669" t="s">
        <v>1597</v>
      </c>
    </row>
    <row r="790" spans="1:18" ht="39.950000000000003" customHeight="1" x14ac:dyDescent="0.25">
      <c r="B790" s="649">
        <v>43654</v>
      </c>
      <c r="C790" s="662" t="s">
        <v>2351</v>
      </c>
      <c r="D790" s="651" t="s">
        <v>1592</v>
      </c>
      <c r="E790" s="651" t="s">
        <v>1603</v>
      </c>
      <c r="F790" s="663" t="s">
        <v>1599</v>
      </c>
      <c r="G790" s="651" t="s">
        <v>1604</v>
      </c>
      <c r="H790" s="651" t="s">
        <v>1595</v>
      </c>
      <c r="I790" s="651" t="s">
        <v>1596</v>
      </c>
      <c r="J790" s="684">
        <v>9960</v>
      </c>
      <c r="K790" s="684">
        <v>50.7102</v>
      </c>
      <c r="L790" s="655">
        <f t="shared" si="79"/>
        <v>196.41018966598435</v>
      </c>
      <c r="M790" s="628">
        <v>60</v>
      </c>
      <c r="N790" s="667">
        <f t="shared" si="83"/>
        <v>166</v>
      </c>
      <c r="O790" s="668">
        <f t="shared" ca="1" si="81"/>
        <v>55</v>
      </c>
      <c r="P790" s="655">
        <f t="shared" ca="1" si="82"/>
        <v>830</v>
      </c>
      <c r="Q790" s="667">
        <f t="shared" ca="1" si="80"/>
        <v>830</v>
      </c>
      <c r="R790" s="669" t="s">
        <v>1597</v>
      </c>
    </row>
    <row r="791" spans="1:18" ht="39.950000000000003" customHeight="1" x14ac:dyDescent="0.25">
      <c r="B791" s="649">
        <v>43654</v>
      </c>
      <c r="C791" s="662" t="s">
        <v>2351</v>
      </c>
      <c r="D791" s="651" t="s">
        <v>1592</v>
      </c>
      <c r="E791" s="651" t="s">
        <v>1605</v>
      </c>
      <c r="F791" s="663" t="s">
        <v>1599</v>
      </c>
      <c r="G791" s="651" t="s">
        <v>1606</v>
      </c>
      <c r="H791" s="651" t="s">
        <v>1595</v>
      </c>
      <c r="I791" s="651" t="s">
        <v>1596</v>
      </c>
      <c r="J791" s="684">
        <v>9960</v>
      </c>
      <c r="K791" s="684">
        <v>50.7102</v>
      </c>
      <c r="L791" s="655">
        <f t="shared" si="79"/>
        <v>196.41018966598435</v>
      </c>
      <c r="M791" s="628">
        <v>60</v>
      </c>
      <c r="N791" s="667">
        <f t="shared" si="83"/>
        <v>166</v>
      </c>
      <c r="O791" s="668">
        <f t="shared" ca="1" si="81"/>
        <v>55</v>
      </c>
      <c r="P791" s="655">
        <f t="shared" ca="1" si="82"/>
        <v>830</v>
      </c>
      <c r="Q791" s="667">
        <f t="shared" ca="1" si="80"/>
        <v>830</v>
      </c>
      <c r="R791" s="669" t="s">
        <v>1597</v>
      </c>
    </row>
    <row r="792" spans="1:18" ht="39.950000000000003" customHeight="1" x14ac:dyDescent="0.25">
      <c r="B792" s="649">
        <v>43654</v>
      </c>
      <c r="C792" s="662" t="s">
        <v>2351</v>
      </c>
      <c r="D792" s="651" t="s">
        <v>1592</v>
      </c>
      <c r="E792" s="651" t="s">
        <v>1607</v>
      </c>
      <c r="F792" s="663" t="s">
        <v>1599</v>
      </c>
      <c r="G792" s="651" t="s">
        <v>1608</v>
      </c>
      <c r="H792" s="651" t="s">
        <v>1595</v>
      </c>
      <c r="I792" s="651" t="s">
        <v>1596</v>
      </c>
      <c r="J792" s="684">
        <v>9960</v>
      </c>
      <c r="K792" s="684">
        <v>50.7102</v>
      </c>
      <c r="L792" s="655">
        <f t="shared" si="79"/>
        <v>196.41018966598435</v>
      </c>
      <c r="M792" s="628">
        <v>60</v>
      </c>
      <c r="N792" s="667">
        <f t="shared" si="83"/>
        <v>166</v>
      </c>
      <c r="O792" s="668">
        <f t="shared" ca="1" si="81"/>
        <v>55</v>
      </c>
      <c r="P792" s="655">
        <f t="shared" ca="1" si="82"/>
        <v>830</v>
      </c>
      <c r="Q792" s="667">
        <f t="shared" ca="1" si="80"/>
        <v>830</v>
      </c>
      <c r="R792" s="669" t="s">
        <v>1597</v>
      </c>
    </row>
    <row r="793" spans="1:18" ht="39.950000000000003" customHeight="1" x14ac:dyDescent="0.25">
      <c r="B793" s="649">
        <v>43654</v>
      </c>
      <c r="C793" s="662" t="s">
        <v>2351</v>
      </c>
      <c r="D793" s="651" t="s">
        <v>1592</v>
      </c>
      <c r="E793" s="651" t="s">
        <v>1609</v>
      </c>
      <c r="F793" s="663" t="s">
        <v>1599</v>
      </c>
      <c r="G793" s="651" t="s">
        <v>1610</v>
      </c>
      <c r="H793" s="651" t="s">
        <v>1595</v>
      </c>
      <c r="I793" s="651" t="s">
        <v>1596</v>
      </c>
      <c r="J793" s="684">
        <v>9960</v>
      </c>
      <c r="K793" s="684">
        <v>50.7102</v>
      </c>
      <c r="L793" s="655">
        <f t="shared" si="79"/>
        <v>196.41018966598435</v>
      </c>
      <c r="M793" s="628">
        <v>60</v>
      </c>
      <c r="N793" s="667">
        <f t="shared" si="83"/>
        <v>166</v>
      </c>
      <c r="O793" s="668">
        <f t="shared" ca="1" si="81"/>
        <v>55</v>
      </c>
      <c r="P793" s="655">
        <f t="shared" ca="1" si="82"/>
        <v>830</v>
      </c>
      <c r="Q793" s="667">
        <f t="shared" ca="1" si="80"/>
        <v>830</v>
      </c>
      <c r="R793" s="669" t="s">
        <v>1597</v>
      </c>
    </row>
    <row r="794" spans="1:18" ht="39.950000000000003" customHeight="1" x14ac:dyDescent="0.25">
      <c r="B794" s="649">
        <v>43654</v>
      </c>
      <c r="C794" s="662" t="s">
        <v>2351</v>
      </c>
      <c r="D794" s="651" t="s">
        <v>1592</v>
      </c>
      <c r="E794" s="651" t="s">
        <v>1611</v>
      </c>
      <c r="F794" s="663" t="s">
        <v>1612</v>
      </c>
      <c r="G794" s="651" t="s">
        <v>1613</v>
      </c>
      <c r="H794" s="651" t="s">
        <v>1614</v>
      </c>
      <c r="I794" s="651" t="s">
        <v>1596</v>
      </c>
      <c r="J794" s="684">
        <v>16985</v>
      </c>
      <c r="K794" s="684">
        <v>50.7102</v>
      </c>
      <c r="L794" s="655">
        <f t="shared" si="79"/>
        <v>334.942477055898</v>
      </c>
      <c r="M794" s="628">
        <v>60</v>
      </c>
      <c r="N794" s="667">
        <f t="shared" si="83"/>
        <v>283.08333333333331</v>
      </c>
      <c r="O794" s="668">
        <f t="shared" ca="1" si="81"/>
        <v>55</v>
      </c>
      <c r="P794" s="655">
        <f t="shared" ca="1" si="82"/>
        <v>1415.4166666666679</v>
      </c>
      <c r="Q794" s="667">
        <f t="shared" ca="1" si="80"/>
        <v>1415.4166666666679</v>
      </c>
      <c r="R794" s="669" t="s">
        <v>1597</v>
      </c>
    </row>
    <row r="795" spans="1:18" ht="39.950000000000003" customHeight="1" x14ac:dyDescent="0.25">
      <c r="B795" s="649">
        <v>43654</v>
      </c>
      <c r="C795" s="662" t="s">
        <v>2351</v>
      </c>
      <c r="D795" s="651" t="s">
        <v>1592</v>
      </c>
      <c r="E795" s="651" t="s">
        <v>1615</v>
      </c>
      <c r="F795" s="663" t="s">
        <v>1612</v>
      </c>
      <c r="G795" s="651" t="s">
        <v>1616</v>
      </c>
      <c r="H795" s="651" t="s">
        <v>1614</v>
      </c>
      <c r="I795" s="651" t="s">
        <v>1596</v>
      </c>
      <c r="J795" s="684">
        <v>16985</v>
      </c>
      <c r="K795" s="684">
        <v>50.7102</v>
      </c>
      <c r="L795" s="655">
        <f t="shared" si="79"/>
        <v>334.942477055898</v>
      </c>
      <c r="M795" s="628">
        <v>60</v>
      </c>
      <c r="N795" s="667">
        <f t="shared" si="83"/>
        <v>283.08333333333331</v>
      </c>
      <c r="O795" s="668">
        <f t="shared" ca="1" si="81"/>
        <v>55</v>
      </c>
      <c r="P795" s="655">
        <f t="shared" ca="1" si="82"/>
        <v>1415.4166666666679</v>
      </c>
      <c r="Q795" s="667">
        <f t="shared" ca="1" si="80"/>
        <v>1415.4166666666679</v>
      </c>
      <c r="R795" s="669" t="s">
        <v>1597</v>
      </c>
    </row>
    <row r="796" spans="1:18" ht="39.950000000000003" customHeight="1" x14ac:dyDescent="0.25">
      <c r="B796" s="649">
        <v>43654</v>
      </c>
      <c r="C796" s="662" t="s">
        <v>2351</v>
      </c>
      <c r="D796" s="651" t="s">
        <v>1592</v>
      </c>
      <c r="E796" s="651" t="s">
        <v>1617</v>
      </c>
      <c r="F796" s="663" t="s">
        <v>1612</v>
      </c>
      <c r="G796" s="651" t="s">
        <v>1618</v>
      </c>
      <c r="H796" s="651" t="s">
        <v>1614</v>
      </c>
      <c r="I796" s="651" t="s">
        <v>1596</v>
      </c>
      <c r="J796" s="684">
        <v>16985</v>
      </c>
      <c r="K796" s="684">
        <v>50.7102</v>
      </c>
      <c r="L796" s="655">
        <f t="shared" si="79"/>
        <v>334.942477055898</v>
      </c>
      <c r="M796" s="628">
        <v>60</v>
      </c>
      <c r="N796" s="667">
        <f t="shared" si="83"/>
        <v>283.08333333333331</v>
      </c>
      <c r="O796" s="668">
        <f t="shared" ca="1" si="81"/>
        <v>55</v>
      </c>
      <c r="P796" s="655">
        <f t="shared" ca="1" si="82"/>
        <v>1415.4166666666679</v>
      </c>
      <c r="Q796" s="667">
        <f t="shared" ca="1" si="80"/>
        <v>1415.4166666666679</v>
      </c>
      <c r="R796" s="669" t="s">
        <v>1597</v>
      </c>
    </row>
    <row r="797" spans="1:18" ht="39.950000000000003" customHeight="1" x14ac:dyDescent="0.25">
      <c r="B797" s="649">
        <v>43654</v>
      </c>
      <c r="C797" s="662" t="s">
        <v>2351</v>
      </c>
      <c r="D797" s="651" t="s">
        <v>1592</v>
      </c>
      <c r="E797" s="651" t="s">
        <v>1619</v>
      </c>
      <c r="F797" s="663" t="s">
        <v>1612</v>
      </c>
      <c r="G797" s="651" t="s">
        <v>1620</v>
      </c>
      <c r="H797" s="651" t="s">
        <v>1614</v>
      </c>
      <c r="I797" s="651" t="s">
        <v>1596</v>
      </c>
      <c r="J797" s="684">
        <v>16985</v>
      </c>
      <c r="K797" s="684">
        <v>50.7102</v>
      </c>
      <c r="L797" s="655">
        <f t="shared" si="79"/>
        <v>334.942477055898</v>
      </c>
      <c r="M797" s="628">
        <v>60</v>
      </c>
      <c r="N797" s="667">
        <f t="shared" si="83"/>
        <v>283.08333333333331</v>
      </c>
      <c r="O797" s="668">
        <f t="shared" ca="1" si="81"/>
        <v>55</v>
      </c>
      <c r="P797" s="655">
        <f t="shared" ca="1" si="82"/>
        <v>1415.4166666666679</v>
      </c>
      <c r="Q797" s="667">
        <f t="shared" ca="1" si="80"/>
        <v>1415.4166666666679</v>
      </c>
      <c r="R797" s="669" t="s">
        <v>1597</v>
      </c>
    </row>
    <row r="798" spans="1:18" ht="39.950000000000003" customHeight="1" x14ac:dyDescent="0.25">
      <c r="B798" s="649">
        <v>43654</v>
      </c>
      <c r="C798" s="662" t="s">
        <v>2351</v>
      </c>
      <c r="D798" s="651" t="s">
        <v>1592</v>
      </c>
      <c r="E798" s="651" t="s">
        <v>1621</v>
      </c>
      <c r="F798" s="663" t="s">
        <v>1612</v>
      </c>
      <c r="G798" s="651" t="s">
        <v>1622</v>
      </c>
      <c r="H798" s="651" t="s">
        <v>1614</v>
      </c>
      <c r="I798" s="651" t="s">
        <v>1596</v>
      </c>
      <c r="J798" s="684">
        <v>16985</v>
      </c>
      <c r="K798" s="684">
        <v>50.7102</v>
      </c>
      <c r="L798" s="655">
        <f t="shared" si="79"/>
        <v>334.942477055898</v>
      </c>
      <c r="M798" s="628">
        <v>60</v>
      </c>
      <c r="N798" s="667">
        <f t="shared" si="83"/>
        <v>283.08333333333331</v>
      </c>
      <c r="O798" s="668">
        <f t="shared" ca="1" si="81"/>
        <v>55</v>
      </c>
      <c r="P798" s="655">
        <f t="shared" ca="1" si="82"/>
        <v>1415.4166666666679</v>
      </c>
      <c r="Q798" s="667">
        <f t="shared" ca="1" si="80"/>
        <v>1415.4166666666679</v>
      </c>
      <c r="R798" s="669" t="s">
        <v>1597</v>
      </c>
    </row>
    <row r="799" spans="1:18" ht="39.950000000000003" customHeight="1" x14ac:dyDescent="0.25">
      <c r="B799" s="649">
        <v>43654</v>
      </c>
      <c r="C799" s="662" t="s">
        <v>2351</v>
      </c>
      <c r="D799" s="651" t="s">
        <v>1592</v>
      </c>
      <c r="E799" s="651" t="s">
        <v>1623</v>
      </c>
      <c r="F799" s="663" t="s">
        <v>1612</v>
      </c>
      <c r="G799" s="651" t="s">
        <v>1624</v>
      </c>
      <c r="H799" s="651" t="s">
        <v>1614</v>
      </c>
      <c r="I799" s="651" t="s">
        <v>1596</v>
      </c>
      <c r="J799" s="684">
        <v>16985</v>
      </c>
      <c r="K799" s="684">
        <v>50.7102</v>
      </c>
      <c r="L799" s="655">
        <f t="shared" si="79"/>
        <v>334.942477055898</v>
      </c>
      <c r="M799" s="628">
        <v>60</v>
      </c>
      <c r="N799" s="667">
        <f t="shared" si="83"/>
        <v>283.08333333333331</v>
      </c>
      <c r="O799" s="668">
        <f t="shared" ca="1" si="81"/>
        <v>55</v>
      </c>
      <c r="P799" s="655">
        <f t="shared" ca="1" si="82"/>
        <v>1415.4166666666679</v>
      </c>
      <c r="Q799" s="667">
        <f t="shared" ca="1" si="80"/>
        <v>1415.4166666666679</v>
      </c>
      <c r="R799" s="669" t="s">
        <v>1597</v>
      </c>
    </row>
    <row r="800" spans="1:18" ht="39.950000000000003" customHeight="1" x14ac:dyDescent="0.25">
      <c r="B800" s="649">
        <v>43703</v>
      </c>
      <c r="C800" s="662" t="s">
        <v>2351</v>
      </c>
      <c r="D800" s="651" t="s">
        <v>1625</v>
      </c>
      <c r="E800" s="651" t="s">
        <v>1626</v>
      </c>
      <c r="F800" s="663" t="s">
        <v>1627</v>
      </c>
      <c r="G800" s="651" t="s">
        <v>1628</v>
      </c>
      <c r="H800" s="651" t="s">
        <v>1629</v>
      </c>
      <c r="I800" s="651" t="s">
        <v>19</v>
      </c>
      <c r="J800" s="684">
        <v>63474.58</v>
      </c>
      <c r="K800" s="684">
        <v>51.151899999999998</v>
      </c>
      <c r="L800" s="655">
        <f t="shared" si="79"/>
        <v>1240.903661447571</v>
      </c>
      <c r="M800" s="628">
        <v>60</v>
      </c>
      <c r="N800" s="667">
        <f t="shared" si="83"/>
        <v>1057.9096666666667</v>
      </c>
      <c r="O800" s="668">
        <f t="shared" ca="1" si="81"/>
        <v>53</v>
      </c>
      <c r="P800" s="655">
        <f t="shared" ca="1" si="82"/>
        <v>7405.3676666666652</v>
      </c>
      <c r="Q800" s="667">
        <f t="shared" ca="1" si="80"/>
        <v>7405.3676666666652</v>
      </c>
      <c r="R800" s="669" t="s">
        <v>1630</v>
      </c>
    </row>
    <row r="801" spans="2:18" ht="39.950000000000003" customHeight="1" x14ac:dyDescent="0.25">
      <c r="B801" s="649">
        <v>43703</v>
      </c>
      <c r="C801" s="662" t="s">
        <v>2351</v>
      </c>
      <c r="D801" s="651" t="s">
        <v>1625</v>
      </c>
      <c r="E801" s="651" t="s">
        <v>1631</v>
      </c>
      <c r="F801" s="663" t="s">
        <v>1627</v>
      </c>
      <c r="G801" s="651" t="s">
        <v>1632</v>
      </c>
      <c r="H801" s="651" t="s">
        <v>1633</v>
      </c>
      <c r="I801" s="651" t="s">
        <v>19</v>
      </c>
      <c r="J801" s="684">
        <v>63474.58</v>
      </c>
      <c r="K801" s="684">
        <v>51.151899999999998</v>
      </c>
      <c r="L801" s="655">
        <f t="shared" ref="L801:L845" si="84">+J801/K801</f>
        <v>1240.903661447571</v>
      </c>
      <c r="M801" s="628">
        <v>60</v>
      </c>
      <c r="N801" s="667">
        <f t="shared" si="83"/>
        <v>1057.9096666666667</v>
      </c>
      <c r="O801" s="668">
        <f t="shared" ca="1" si="81"/>
        <v>53</v>
      </c>
      <c r="P801" s="655">
        <f t="shared" ca="1" si="82"/>
        <v>7405.3676666666652</v>
      </c>
      <c r="Q801" s="667">
        <f t="shared" ca="1" si="80"/>
        <v>7405.3676666666652</v>
      </c>
      <c r="R801" s="669" t="s">
        <v>1630</v>
      </c>
    </row>
    <row r="802" spans="2:18" ht="39.950000000000003" customHeight="1" x14ac:dyDescent="0.25">
      <c r="B802" s="649">
        <v>43745</v>
      </c>
      <c r="C802" s="662" t="s">
        <v>2351</v>
      </c>
      <c r="D802" s="651" t="s">
        <v>1634</v>
      </c>
      <c r="E802" s="651" t="s">
        <v>1635</v>
      </c>
      <c r="F802" s="663" t="s">
        <v>1636</v>
      </c>
      <c r="G802" s="651" t="s">
        <v>1637</v>
      </c>
      <c r="H802" s="651" t="s">
        <v>1595</v>
      </c>
      <c r="I802" s="651" t="s">
        <v>1596</v>
      </c>
      <c r="J802" s="684">
        <v>37847.46</v>
      </c>
      <c r="K802" s="684">
        <v>52.259300000000003</v>
      </c>
      <c r="L802" s="655">
        <f t="shared" si="84"/>
        <v>724.22439642322036</v>
      </c>
      <c r="M802" s="628">
        <v>60</v>
      </c>
      <c r="N802" s="667">
        <f t="shared" si="83"/>
        <v>630.79099999999994</v>
      </c>
      <c r="O802" s="668">
        <f t="shared" ca="1" si="81"/>
        <v>52</v>
      </c>
      <c r="P802" s="655">
        <f t="shared" ca="1" si="82"/>
        <v>5046.3280000000013</v>
      </c>
      <c r="Q802" s="667">
        <f t="shared" ca="1" si="80"/>
        <v>5046.3280000000013</v>
      </c>
      <c r="R802" s="669" t="s">
        <v>1104</v>
      </c>
    </row>
    <row r="803" spans="2:18" ht="39.950000000000003" customHeight="1" x14ac:dyDescent="0.25">
      <c r="B803" s="649">
        <v>43745</v>
      </c>
      <c r="C803" s="662" t="s">
        <v>2351</v>
      </c>
      <c r="D803" s="651" t="s">
        <v>1634</v>
      </c>
      <c r="E803" s="651" t="s">
        <v>1638</v>
      </c>
      <c r="F803" s="663" t="s">
        <v>1636</v>
      </c>
      <c r="G803" s="651" t="s">
        <v>1639</v>
      </c>
      <c r="H803" s="651" t="s">
        <v>1595</v>
      </c>
      <c r="I803" s="651" t="s">
        <v>1596</v>
      </c>
      <c r="J803" s="684">
        <v>37847.46</v>
      </c>
      <c r="K803" s="684">
        <v>52.259300000000003</v>
      </c>
      <c r="L803" s="655">
        <f t="shared" si="84"/>
        <v>724.22439642322036</v>
      </c>
      <c r="M803" s="628">
        <v>60</v>
      </c>
      <c r="N803" s="667">
        <f t="shared" si="83"/>
        <v>630.79099999999994</v>
      </c>
      <c r="O803" s="668">
        <f t="shared" ca="1" si="81"/>
        <v>52</v>
      </c>
      <c r="P803" s="655">
        <f t="shared" ca="1" si="82"/>
        <v>5046.3280000000013</v>
      </c>
      <c r="Q803" s="667">
        <f t="shared" ca="1" si="80"/>
        <v>5046.3280000000013</v>
      </c>
      <c r="R803" s="669" t="s">
        <v>1104</v>
      </c>
    </row>
    <row r="804" spans="2:18" ht="57" customHeight="1" x14ac:dyDescent="0.25">
      <c r="B804" s="649">
        <v>43745</v>
      </c>
      <c r="C804" s="662" t="s">
        <v>2351</v>
      </c>
      <c r="D804" s="651" t="s">
        <v>1634</v>
      </c>
      <c r="E804" s="651" t="s">
        <v>1640</v>
      </c>
      <c r="F804" s="663" t="s">
        <v>1636</v>
      </c>
      <c r="G804" s="651" t="s">
        <v>1641</v>
      </c>
      <c r="H804" s="651" t="s">
        <v>1595</v>
      </c>
      <c r="I804" s="651" t="s">
        <v>1596</v>
      </c>
      <c r="J804" s="684">
        <v>37847.46</v>
      </c>
      <c r="K804" s="684">
        <v>52.259300000000003</v>
      </c>
      <c r="L804" s="655">
        <f t="shared" si="84"/>
        <v>724.22439642322036</v>
      </c>
      <c r="M804" s="628">
        <v>60</v>
      </c>
      <c r="N804" s="667">
        <f t="shared" si="83"/>
        <v>630.79099999999994</v>
      </c>
      <c r="O804" s="668">
        <f t="shared" ca="1" si="81"/>
        <v>52</v>
      </c>
      <c r="P804" s="655">
        <f t="shared" ca="1" si="82"/>
        <v>5046.3280000000013</v>
      </c>
      <c r="Q804" s="667">
        <f t="shared" ca="1" si="80"/>
        <v>5046.3280000000013</v>
      </c>
      <c r="R804" s="669" t="s">
        <v>1104</v>
      </c>
    </row>
    <row r="805" spans="2:18" ht="51.75" customHeight="1" x14ac:dyDescent="0.25">
      <c r="B805" s="649">
        <v>43745</v>
      </c>
      <c r="C805" s="662" t="s">
        <v>2351</v>
      </c>
      <c r="D805" s="651" t="s">
        <v>1634</v>
      </c>
      <c r="E805" s="651" t="s">
        <v>1642</v>
      </c>
      <c r="F805" s="663" t="s">
        <v>1636</v>
      </c>
      <c r="G805" s="651" t="s">
        <v>1643</v>
      </c>
      <c r="H805" s="651" t="s">
        <v>1595</v>
      </c>
      <c r="I805" s="651" t="s">
        <v>1596</v>
      </c>
      <c r="J805" s="684">
        <v>37847.46</v>
      </c>
      <c r="K805" s="684">
        <v>52.259300000000003</v>
      </c>
      <c r="L805" s="655">
        <f t="shared" si="84"/>
        <v>724.22439642322036</v>
      </c>
      <c r="M805" s="628">
        <v>60</v>
      </c>
      <c r="N805" s="667">
        <f t="shared" si="83"/>
        <v>630.79099999999994</v>
      </c>
      <c r="O805" s="668">
        <f t="shared" ca="1" si="81"/>
        <v>52</v>
      </c>
      <c r="P805" s="655">
        <f t="shared" ca="1" si="82"/>
        <v>5046.3280000000013</v>
      </c>
      <c r="Q805" s="667">
        <f t="shared" ca="1" si="80"/>
        <v>5046.3280000000013</v>
      </c>
      <c r="R805" s="669" t="s">
        <v>1104</v>
      </c>
    </row>
    <row r="806" spans="2:18" ht="48.75" customHeight="1" x14ac:dyDescent="0.25">
      <c r="B806" s="649">
        <v>43745</v>
      </c>
      <c r="C806" s="662" t="s">
        <v>2351</v>
      </c>
      <c r="D806" s="651" t="s">
        <v>1634</v>
      </c>
      <c r="E806" s="651" t="s">
        <v>1644</v>
      </c>
      <c r="F806" s="663" t="s">
        <v>1636</v>
      </c>
      <c r="G806" s="651" t="s">
        <v>1645</v>
      </c>
      <c r="H806" s="651" t="s">
        <v>1595</v>
      </c>
      <c r="I806" s="651" t="s">
        <v>1596</v>
      </c>
      <c r="J806" s="684">
        <v>37847.46</v>
      </c>
      <c r="K806" s="684">
        <v>52.259300000000003</v>
      </c>
      <c r="L806" s="655">
        <f t="shared" si="84"/>
        <v>724.22439642322036</v>
      </c>
      <c r="M806" s="628">
        <v>60</v>
      </c>
      <c r="N806" s="667">
        <f t="shared" si="83"/>
        <v>630.79099999999994</v>
      </c>
      <c r="O806" s="668">
        <f t="shared" ca="1" si="81"/>
        <v>52</v>
      </c>
      <c r="P806" s="655">
        <f t="shared" ca="1" si="82"/>
        <v>5046.3280000000013</v>
      </c>
      <c r="Q806" s="667">
        <f t="shared" ca="1" si="80"/>
        <v>5046.3280000000013</v>
      </c>
      <c r="R806" s="669" t="s">
        <v>1104</v>
      </c>
    </row>
    <row r="807" spans="2:18" ht="39.950000000000003" customHeight="1" x14ac:dyDescent="0.25">
      <c r="B807" s="649">
        <v>43745</v>
      </c>
      <c r="C807" s="662" t="s">
        <v>2351</v>
      </c>
      <c r="D807" s="651" t="s">
        <v>1634</v>
      </c>
      <c r="E807" s="651" t="s">
        <v>1646</v>
      </c>
      <c r="F807" s="663" t="s">
        <v>1636</v>
      </c>
      <c r="G807" s="651" t="s">
        <v>1647</v>
      </c>
      <c r="H807" s="651" t="s">
        <v>1595</v>
      </c>
      <c r="I807" s="651" t="s">
        <v>1596</v>
      </c>
      <c r="J807" s="684">
        <v>37847.46</v>
      </c>
      <c r="K807" s="684">
        <v>52.259300000000003</v>
      </c>
      <c r="L807" s="655">
        <f t="shared" si="84"/>
        <v>724.22439642322036</v>
      </c>
      <c r="M807" s="628">
        <v>60</v>
      </c>
      <c r="N807" s="667">
        <f t="shared" si="83"/>
        <v>630.79099999999994</v>
      </c>
      <c r="O807" s="668">
        <f t="shared" ca="1" si="81"/>
        <v>52</v>
      </c>
      <c r="P807" s="655">
        <f t="shared" ca="1" si="82"/>
        <v>5046.3280000000013</v>
      </c>
      <c r="Q807" s="667">
        <f t="shared" ca="1" si="80"/>
        <v>5046.3280000000013</v>
      </c>
      <c r="R807" s="669" t="s">
        <v>1104</v>
      </c>
    </row>
    <row r="808" spans="2:18" ht="39.950000000000003" customHeight="1" x14ac:dyDescent="0.25">
      <c r="B808" s="649">
        <v>43745</v>
      </c>
      <c r="C808" s="662" t="s">
        <v>2351</v>
      </c>
      <c r="D808" s="651" t="s">
        <v>1634</v>
      </c>
      <c r="E808" s="651" t="s">
        <v>1648</v>
      </c>
      <c r="F808" s="663" t="s">
        <v>1636</v>
      </c>
      <c r="G808" s="651" t="s">
        <v>1649</v>
      </c>
      <c r="H808" s="651" t="s">
        <v>1595</v>
      </c>
      <c r="I808" s="651" t="s">
        <v>1596</v>
      </c>
      <c r="J808" s="684">
        <v>37847.46</v>
      </c>
      <c r="K808" s="684">
        <v>52.259300000000003</v>
      </c>
      <c r="L808" s="655">
        <f t="shared" si="84"/>
        <v>724.22439642322036</v>
      </c>
      <c r="M808" s="628">
        <v>60</v>
      </c>
      <c r="N808" s="667">
        <f t="shared" si="83"/>
        <v>630.79099999999994</v>
      </c>
      <c r="O808" s="668">
        <f t="shared" ca="1" si="81"/>
        <v>52</v>
      </c>
      <c r="P808" s="655">
        <f t="shared" ca="1" si="82"/>
        <v>5046.3280000000013</v>
      </c>
      <c r="Q808" s="667">
        <f t="shared" ca="1" si="80"/>
        <v>5046.3280000000013</v>
      </c>
      <c r="R808" s="669" t="s">
        <v>1104</v>
      </c>
    </row>
    <row r="809" spans="2:18" ht="39.950000000000003" customHeight="1" x14ac:dyDescent="0.25">
      <c r="B809" s="649">
        <v>43745</v>
      </c>
      <c r="C809" s="662" t="s">
        <v>2351</v>
      </c>
      <c r="D809" s="651" t="s">
        <v>1634</v>
      </c>
      <c r="E809" s="651" t="s">
        <v>1650</v>
      </c>
      <c r="F809" s="663" t="s">
        <v>1636</v>
      </c>
      <c r="G809" s="651" t="s">
        <v>1651</v>
      </c>
      <c r="H809" s="651" t="s">
        <v>1595</v>
      </c>
      <c r="I809" s="651" t="s">
        <v>1596</v>
      </c>
      <c r="J809" s="684">
        <v>37847.46</v>
      </c>
      <c r="K809" s="684">
        <v>52.259300000000003</v>
      </c>
      <c r="L809" s="655">
        <f t="shared" si="84"/>
        <v>724.22439642322036</v>
      </c>
      <c r="M809" s="628">
        <v>60</v>
      </c>
      <c r="N809" s="667">
        <f t="shared" si="83"/>
        <v>630.79099999999994</v>
      </c>
      <c r="O809" s="668">
        <f t="shared" ca="1" si="81"/>
        <v>52</v>
      </c>
      <c r="P809" s="655">
        <f t="shared" ca="1" si="82"/>
        <v>5046.3280000000013</v>
      </c>
      <c r="Q809" s="667">
        <f t="shared" ca="1" si="80"/>
        <v>5046.3280000000013</v>
      </c>
      <c r="R809" s="669" t="s">
        <v>1104</v>
      </c>
    </row>
    <row r="810" spans="2:18" ht="39.950000000000003" customHeight="1" x14ac:dyDescent="0.25">
      <c r="B810" s="649">
        <v>43745</v>
      </c>
      <c r="C810" s="662" t="s">
        <v>2351</v>
      </c>
      <c r="D810" s="651" t="s">
        <v>1634</v>
      </c>
      <c r="E810" s="651" t="s">
        <v>1652</v>
      </c>
      <c r="F810" s="663" t="s">
        <v>1653</v>
      </c>
      <c r="G810" s="675" t="s">
        <v>1654</v>
      </c>
      <c r="H810" s="675" t="s">
        <v>1595</v>
      </c>
      <c r="I810" s="651" t="s">
        <v>1596</v>
      </c>
      <c r="J810" s="684">
        <v>1447.02</v>
      </c>
      <c r="K810" s="684">
        <v>52.259300000000003</v>
      </c>
      <c r="L810" s="655">
        <f t="shared" si="84"/>
        <v>27.689234260696182</v>
      </c>
      <c r="M810" s="628">
        <v>60</v>
      </c>
      <c r="N810" s="667">
        <f t="shared" si="83"/>
        <v>24.117000000000001</v>
      </c>
      <c r="O810" s="668">
        <f t="shared" ca="1" si="81"/>
        <v>52</v>
      </c>
      <c r="P810" s="655">
        <f t="shared" ca="1" si="82"/>
        <v>192.93599999999992</v>
      </c>
      <c r="Q810" s="667">
        <f t="shared" ca="1" si="80"/>
        <v>192.93599999999992</v>
      </c>
      <c r="R810" s="669" t="s">
        <v>1104</v>
      </c>
    </row>
    <row r="811" spans="2:18" ht="39.950000000000003" customHeight="1" x14ac:dyDescent="0.25">
      <c r="B811" s="649">
        <v>43745</v>
      </c>
      <c r="C811" s="662" t="s">
        <v>2351</v>
      </c>
      <c r="D811" s="651" t="s">
        <v>1634</v>
      </c>
      <c r="E811" s="651" t="s">
        <v>1655</v>
      </c>
      <c r="F811" s="663" t="s">
        <v>1653</v>
      </c>
      <c r="G811" s="675" t="s">
        <v>1656</v>
      </c>
      <c r="H811" s="651" t="s">
        <v>1595</v>
      </c>
      <c r="I811" s="651" t="s">
        <v>1596</v>
      </c>
      <c r="J811" s="684">
        <v>1447.02</v>
      </c>
      <c r="K811" s="684">
        <v>52.259300000000003</v>
      </c>
      <c r="L811" s="655">
        <f t="shared" si="84"/>
        <v>27.689234260696182</v>
      </c>
      <c r="M811" s="628">
        <v>60</v>
      </c>
      <c r="N811" s="667">
        <f t="shared" si="83"/>
        <v>24.117000000000001</v>
      </c>
      <c r="O811" s="668">
        <f t="shared" ca="1" si="81"/>
        <v>52</v>
      </c>
      <c r="P811" s="655">
        <f t="shared" ca="1" si="82"/>
        <v>192.93599999999992</v>
      </c>
      <c r="Q811" s="667">
        <f t="shared" ca="1" si="80"/>
        <v>192.93599999999992</v>
      </c>
      <c r="R811" s="669" t="s">
        <v>1104</v>
      </c>
    </row>
    <row r="812" spans="2:18" ht="39.950000000000003" customHeight="1" x14ac:dyDescent="0.25">
      <c r="B812" s="649">
        <v>43745</v>
      </c>
      <c r="C812" s="662" t="s">
        <v>2351</v>
      </c>
      <c r="D812" s="651" t="s">
        <v>1634</v>
      </c>
      <c r="E812" s="651">
        <v>31211</v>
      </c>
      <c r="F812" s="663" t="s">
        <v>1653</v>
      </c>
      <c r="G812" s="675" t="s">
        <v>1657</v>
      </c>
      <c r="H812" s="651" t="s">
        <v>1595</v>
      </c>
      <c r="I812" s="651" t="s">
        <v>1596</v>
      </c>
      <c r="J812" s="684">
        <v>1447.02</v>
      </c>
      <c r="K812" s="684">
        <v>52.259300000000003</v>
      </c>
      <c r="L812" s="655">
        <f t="shared" si="84"/>
        <v>27.689234260696182</v>
      </c>
      <c r="M812" s="628">
        <v>60</v>
      </c>
      <c r="N812" s="667">
        <f t="shared" si="83"/>
        <v>24.117000000000001</v>
      </c>
      <c r="O812" s="668">
        <f t="shared" ca="1" si="81"/>
        <v>52</v>
      </c>
      <c r="P812" s="655">
        <f t="shared" ca="1" si="82"/>
        <v>192.93599999999992</v>
      </c>
      <c r="Q812" s="667">
        <f t="shared" ca="1" si="80"/>
        <v>192.93599999999992</v>
      </c>
      <c r="R812" s="669" t="s">
        <v>1104</v>
      </c>
    </row>
    <row r="813" spans="2:18" ht="39.950000000000003" customHeight="1" x14ac:dyDescent="0.25">
      <c r="B813" s="649">
        <v>43745</v>
      </c>
      <c r="C813" s="662" t="s">
        <v>2351</v>
      </c>
      <c r="D813" s="651" t="s">
        <v>1634</v>
      </c>
      <c r="E813" s="651" t="s">
        <v>1658</v>
      </c>
      <c r="F813" s="663" t="s">
        <v>1653</v>
      </c>
      <c r="G813" s="675" t="s">
        <v>1659</v>
      </c>
      <c r="H813" s="651" t="s">
        <v>1595</v>
      </c>
      <c r="I813" s="651" t="s">
        <v>1596</v>
      </c>
      <c r="J813" s="684">
        <v>1447.02</v>
      </c>
      <c r="K813" s="684">
        <v>52.259300000000003</v>
      </c>
      <c r="L813" s="655">
        <f t="shared" si="84"/>
        <v>27.689234260696182</v>
      </c>
      <c r="M813" s="628">
        <v>60</v>
      </c>
      <c r="N813" s="667">
        <f t="shared" si="83"/>
        <v>24.117000000000001</v>
      </c>
      <c r="O813" s="668">
        <f t="shared" ca="1" si="81"/>
        <v>52</v>
      </c>
      <c r="P813" s="655">
        <f t="shared" ca="1" si="82"/>
        <v>192.93599999999992</v>
      </c>
      <c r="Q813" s="667">
        <f t="shared" ca="1" si="80"/>
        <v>192.93599999999992</v>
      </c>
      <c r="R813" s="669" t="s">
        <v>1104</v>
      </c>
    </row>
    <row r="814" spans="2:18" ht="39.950000000000003" customHeight="1" x14ac:dyDescent="0.25">
      <c r="B814" s="649">
        <v>43745</v>
      </c>
      <c r="C814" s="662" t="s">
        <v>2351</v>
      </c>
      <c r="D814" s="651" t="s">
        <v>1634</v>
      </c>
      <c r="E814" s="651" t="s">
        <v>1660</v>
      </c>
      <c r="F814" s="663" t="s">
        <v>1653</v>
      </c>
      <c r="G814" s="675" t="s">
        <v>1661</v>
      </c>
      <c r="H814" s="651" t="s">
        <v>1595</v>
      </c>
      <c r="I814" s="651" t="s">
        <v>1596</v>
      </c>
      <c r="J814" s="684">
        <v>1447.02</v>
      </c>
      <c r="K814" s="684">
        <v>52.259300000000003</v>
      </c>
      <c r="L814" s="655">
        <f t="shared" si="84"/>
        <v>27.689234260696182</v>
      </c>
      <c r="M814" s="628">
        <v>60</v>
      </c>
      <c r="N814" s="667">
        <f t="shared" si="83"/>
        <v>24.117000000000001</v>
      </c>
      <c r="O814" s="668">
        <f t="shared" ca="1" si="81"/>
        <v>52</v>
      </c>
      <c r="P814" s="655">
        <f t="shared" ca="1" si="82"/>
        <v>192.93599999999992</v>
      </c>
      <c r="Q814" s="667">
        <f t="shared" ca="1" si="80"/>
        <v>192.93599999999992</v>
      </c>
      <c r="R814" s="669" t="s">
        <v>1104</v>
      </c>
    </row>
    <row r="815" spans="2:18" ht="39.950000000000003" customHeight="1" x14ac:dyDescent="0.25">
      <c r="B815" s="649">
        <v>43745</v>
      </c>
      <c r="C815" s="662" t="s">
        <v>2351</v>
      </c>
      <c r="D815" s="651" t="s">
        <v>1634</v>
      </c>
      <c r="E815" s="651" t="s">
        <v>1662</v>
      </c>
      <c r="F815" s="663" t="s">
        <v>1653</v>
      </c>
      <c r="G815" s="675" t="s">
        <v>1663</v>
      </c>
      <c r="H815" s="651" t="s">
        <v>1595</v>
      </c>
      <c r="I815" s="651" t="s">
        <v>1596</v>
      </c>
      <c r="J815" s="684">
        <v>1447.02</v>
      </c>
      <c r="K815" s="684">
        <v>52.259300000000003</v>
      </c>
      <c r="L815" s="655">
        <f t="shared" si="84"/>
        <v>27.689234260696182</v>
      </c>
      <c r="M815" s="628">
        <v>60</v>
      </c>
      <c r="N815" s="667">
        <f t="shared" si="83"/>
        <v>24.117000000000001</v>
      </c>
      <c r="O815" s="668">
        <f t="shared" ca="1" si="81"/>
        <v>52</v>
      </c>
      <c r="P815" s="655">
        <f t="shared" ca="1" si="82"/>
        <v>192.93599999999992</v>
      </c>
      <c r="Q815" s="667">
        <f t="shared" ca="1" si="80"/>
        <v>192.93599999999992</v>
      </c>
      <c r="R815" s="669" t="s">
        <v>1104</v>
      </c>
    </row>
    <row r="816" spans="2:18" ht="39.950000000000003" customHeight="1" x14ac:dyDescent="0.25">
      <c r="B816" s="649">
        <v>43745</v>
      </c>
      <c r="C816" s="662" t="s">
        <v>2351</v>
      </c>
      <c r="D816" s="651" t="s">
        <v>1634</v>
      </c>
      <c r="E816" s="651" t="s">
        <v>1664</v>
      </c>
      <c r="F816" s="663" t="s">
        <v>1653</v>
      </c>
      <c r="G816" s="675" t="s">
        <v>1665</v>
      </c>
      <c r="H816" s="651" t="s">
        <v>1595</v>
      </c>
      <c r="I816" s="651" t="s">
        <v>1596</v>
      </c>
      <c r="J816" s="684">
        <v>1447.02</v>
      </c>
      <c r="K816" s="684">
        <v>52.259300000000003</v>
      </c>
      <c r="L816" s="655">
        <f t="shared" si="84"/>
        <v>27.689234260696182</v>
      </c>
      <c r="M816" s="628">
        <v>60</v>
      </c>
      <c r="N816" s="667">
        <f t="shared" si="83"/>
        <v>24.117000000000001</v>
      </c>
      <c r="O816" s="668">
        <f t="shared" ca="1" si="81"/>
        <v>52</v>
      </c>
      <c r="P816" s="655">
        <f t="shared" ca="1" si="82"/>
        <v>192.93599999999992</v>
      </c>
      <c r="Q816" s="667">
        <f t="shared" ca="1" si="80"/>
        <v>192.93599999999992</v>
      </c>
      <c r="R816" s="669" t="s">
        <v>1104</v>
      </c>
    </row>
    <row r="817" spans="2:18" ht="39.950000000000003" customHeight="1" x14ac:dyDescent="0.25">
      <c r="B817" s="649">
        <v>43745</v>
      </c>
      <c r="C817" s="662" t="s">
        <v>2351</v>
      </c>
      <c r="D817" s="651" t="s">
        <v>1634</v>
      </c>
      <c r="E817" s="651" t="s">
        <v>1666</v>
      </c>
      <c r="F817" s="663" t="s">
        <v>1653</v>
      </c>
      <c r="G817" s="675" t="s">
        <v>1667</v>
      </c>
      <c r="H817" s="651" t="s">
        <v>1595</v>
      </c>
      <c r="I817" s="651" t="s">
        <v>1596</v>
      </c>
      <c r="J817" s="684">
        <v>1447.02</v>
      </c>
      <c r="K817" s="684">
        <v>52.259300000000003</v>
      </c>
      <c r="L817" s="655">
        <f t="shared" si="84"/>
        <v>27.689234260696182</v>
      </c>
      <c r="M817" s="628">
        <v>60</v>
      </c>
      <c r="N817" s="667">
        <f t="shared" si="83"/>
        <v>24.117000000000001</v>
      </c>
      <c r="O817" s="668">
        <f t="shared" ca="1" si="81"/>
        <v>52</v>
      </c>
      <c r="P817" s="655">
        <f t="shared" ca="1" si="82"/>
        <v>192.93599999999992</v>
      </c>
      <c r="Q817" s="667">
        <f t="shared" ca="1" si="80"/>
        <v>192.93599999999992</v>
      </c>
      <c r="R817" s="669" t="s">
        <v>1104</v>
      </c>
    </row>
    <row r="818" spans="2:18" ht="51" customHeight="1" x14ac:dyDescent="0.25">
      <c r="B818" s="649">
        <v>43840</v>
      </c>
      <c r="C818" s="662" t="s">
        <v>2351</v>
      </c>
      <c r="D818" s="651" t="s">
        <v>1669</v>
      </c>
      <c r="E818" s="651" t="s">
        <v>1670</v>
      </c>
      <c r="F818" s="652" t="s">
        <v>1671</v>
      </c>
      <c r="G818" s="651" t="s">
        <v>1672</v>
      </c>
      <c r="H818" s="651" t="s">
        <v>4403</v>
      </c>
      <c r="I818" s="679" t="s">
        <v>1668</v>
      </c>
      <c r="J818" s="684">
        <v>16596.77</v>
      </c>
      <c r="K818" s="684">
        <v>52.259300000000003</v>
      </c>
      <c r="L818" s="655">
        <f t="shared" si="84"/>
        <v>317.58500400885583</v>
      </c>
      <c r="M818" s="628">
        <v>60</v>
      </c>
      <c r="N818" s="667">
        <f t="shared" si="83"/>
        <v>276.61283333333336</v>
      </c>
      <c r="O818" s="668">
        <f t="shared" ca="1" si="81"/>
        <v>49</v>
      </c>
      <c r="P818" s="655">
        <f t="shared" ca="1" si="82"/>
        <v>3042.7411666666667</v>
      </c>
      <c r="Q818" s="667">
        <f t="shared" ca="1" si="80"/>
        <v>3042.7411666666667</v>
      </c>
      <c r="R818" s="669" t="s">
        <v>1279</v>
      </c>
    </row>
    <row r="819" spans="2:18" ht="47.1" customHeight="1" x14ac:dyDescent="0.25">
      <c r="B819" s="649">
        <v>43840</v>
      </c>
      <c r="C819" s="662" t="s">
        <v>2351</v>
      </c>
      <c r="D819" s="651" t="s">
        <v>1669</v>
      </c>
      <c r="E819" s="651" t="s">
        <v>1673</v>
      </c>
      <c r="F819" s="652" t="s">
        <v>1504</v>
      </c>
      <c r="G819" s="651" t="s">
        <v>1674</v>
      </c>
      <c r="H819" s="651" t="s">
        <v>4403</v>
      </c>
      <c r="I819" s="679" t="s">
        <v>1668</v>
      </c>
      <c r="J819" s="684">
        <v>4008.03</v>
      </c>
      <c r="K819" s="684">
        <v>52.259300000000003</v>
      </c>
      <c r="L819" s="655">
        <f t="shared" si="84"/>
        <v>76.695057147722991</v>
      </c>
      <c r="M819" s="628">
        <v>60</v>
      </c>
      <c r="N819" s="667">
        <f t="shared" si="83"/>
        <v>66.8005</v>
      </c>
      <c r="O819" s="668">
        <f t="shared" ca="1" si="81"/>
        <v>49</v>
      </c>
      <c r="P819" s="655">
        <f t="shared" ca="1" si="82"/>
        <v>734.80550000000039</v>
      </c>
      <c r="Q819" s="667">
        <f t="shared" ca="1" si="80"/>
        <v>734.80550000000039</v>
      </c>
      <c r="R819" s="669" t="s">
        <v>1279</v>
      </c>
    </row>
    <row r="820" spans="2:18" ht="57.95" customHeight="1" x14ac:dyDescent="0.25">
      <c r="B820" s="649">
        <v>43840</v>
      </c>
      <c r="C820" s="662" t="s">
        <v>2351</v>
      </c>
      <c r="D820" s="651" t="s">
        <v>1669</v>
      </c>
      <c r="E820" s="651" t="s">
        <v>1675</v>
      </c>
      <c r="F820" s="663" t="s">
        <v>1676</v>
      </c>
      <c r="G820" s="651" t="s">
        <v>28</v>
      </c>
      <c r="H820" s="651" t="s">
        <v>4403</v>
      </c>
      <c r="I820" s="679" t="s">
        <v>1668</v>
      </c>
      <c r="J820" s="684">
        <v>51844.79</v>
      </c>
      <c r="K820" s="684">
        <v>52.259300000000003</v>
      </c>
      <c r="L820" s="655">
        <f t="shared" si="84"/>
        <v>992.06820604179541</v>
      </c>
      <c r="M820" s="628">
        <v>60</v>
      </c>
      <c r="N820" s="667">
        <f t="shared" si="83"/>
        <v>864.07983333333334</v>
      </c>
      <c r="O820" s="668">
        <f t="shared" ca="1" si="81"/>
        <v>49</v>
      </c>
      <c r="P820" s="655">
        <f t="shared" ca="1" si="82"/>
        <v>9504.8781666666691</v>
      </c>
      <c r="Q820" s="667">
        <f t="shared" ca="1" si="80"/>
        <v>9504.8781666666691</v>
      </c>
      <c r="R820" s="669" t="s">
        <v>1279</v>
      </c>
    </row>
    <row r="821" spans="2:18" ht="57.95" customHeight="1" x14ac:dyDescent="0.25">
      <c r="B821" s="649">
        <v>43840</v>
      </c>
      <c r="C821" s="662" t="s">
        <v>2351</v>
      </c>
      <c r="D821" s="651" t="s">
        <v>1669</v>
      </c>
      <c r="E821" s="651" t="s">
        <v>1677</v>
      </c>
      <c r="F821" s="652" t="s">
        <v>1507</v>
      </c>
      <c r="G821" s="651" t="s">
        <v>28</v>
      </c>
      <c r="H821" s="651" t="s">
        <v>4403</v>
      </c>
      <c r="I821" s="679" t="s">
        <v>1668</v>
      </c>
      <c r="J821" s="684">
        <v>15315.82</v>
      </c>
      <c r="K821" s="684">
        <v>52.259300000000003</v>
      </c>
      <c r="L821" s="655">
        <f t="shared" si="84"/>
        <v>293.07357733456053</v>
      </c>
      <c r="M821" s="628">
        <v>60</v>
      </c>
      <c r="N821" s="667">
        <f t="shared" si="83"/>
        <v>255.26366666666667</v>
      </c>
      <c r="O821" s="668">
        <f t="shared" ca="1" si="81"/>
        <v>49</v>
      </c>
      <c r="P821" s="655">
        <f t="shared" ca="1" si="82"/>
        <v>2807.900333333333</v>
      </c>
      <c r="Q821" s="667">
        <f t="shared" ca="1" si="80"/>
        <v>2807.900333333333</v>
      </c>
      <c r="R821" s="669" t="s">
        <v>1279</v>
      </c>
    </row>
    <row r="822" spans="2:18" ht="47.1" customHeight="1" x14ac:dyDescent="0.25">
      <c r="B822" s="649">
        <v>43887</v>
      </c>
      <c r="C822" s="662" t="s">
        <v>2351</v>
      </c>
      <c r="D822" s="651" t="s">
        <v>1678</v>
      </c>
      <c r="E822" s="651" t="s">
        <v>1679</v>
      </c>
      <c r="F822" s="663" t="s">
        <v>1680</v>
      </c>
      <c r="G822" s="651" t="s">
        <v>28</v>
      </c>
      <c r="H822" s="651" t="s">
        <v>4403</v>
      </c>
      <c r="I822" s="679" t="s">
        <v>1668</v>
      </c>
      <c r="J822" s="684">
        <v>3681.6</v>
      </c>
      <c r="K822" s="684">
        <v>53.388800000000003</v>
      </c>
      <c r="L822" s="655">
        <f t="shared" si="84"/>
        <v>68.958283385279302</v>
      </c>
      <c r="M822" s="628">
        <v>60</v>
      </c>
      <c r="N822" s="667">
        <f t="shared" si="83"/>
        <v>61.36</v>
      </c>
      <c r="O822" s="668">
        <f t="shared" ca="1" si="81"/>
        <v>47</v>
      </c>
      <c r="P822" s="655">
        <f t="shared" ca="1" si="82"/>
        <v>797.67999999999984</v>
      </c>
      <c r="Q822" s="667">
        <f t="shared" ca="1" si="80"/>
        <v>797.67999999999984</v>
      </c>
      <c r="R822" s="669" t="s">
        <v>1429</v>
      </c>
    </row>
    <row r="823" spans="2:18" ht="47.1" customHeight="1" x14ac:dyDescent="0.25">
      <c r="B823" s="649">
        <v>43887</v>
      </c>
      <c r="C823" s="662" t="s">
        <v>2351</v>
      </c>
      <c r="D823" s="651" t="s">
        <v>1678</v>
      </c>
      <c r="E823" s="651" t="s">
        <v>1681</v>
      </c>
      <c r="F823" s="663" t="s">
        <v>1680</v>
      </c>
      <c r="G823" s="651" t="s">
        <v>28</v>
      </c>
      <c r="H823" s="651" t="s">
        <v>4403</v>
      </c>
      <c r="I823" s="679" t="s">
        <v>1668</v>
      </c>
      <c r="J823" s="684">
        <v>3681.6</v>
      </c>
      <c r="K823" s="684">
        <v>53.388800000000003</v>
      </c>
      <c r="L823" s="655">
        <f t="shared" si="84"/>
        <v>68.958283385279302</v>
      </c>
      <c r="M823" s="628">
        <v>60</v>
      </c>
      <c r="N823" s="667">
        <f t="shared" si="83"/>
        <v>61.36</v>
      </c>
      <c r="O823" s="668">
        <f t="shared" ca="1" si="81"/>
        <v>47</v>
      </c>
      <c r="P823" s="655">
        <f t="shared" ca="1" si="82"/>
        <v>797.67999999999984</v>
      </c>
      <c r="Q823" s="667">
        <f t="shared" ca="1" si="80"/>
        <v>797.67999999999984</v>
      </c>
      <c r="R823" s="669" t="s">
        <v>1429</v>
      </c>
    </row>
    <row r="824" spans="2:18" ht="47.1" customHeight="1" x14ac:dyDescent="0.25">
      <c r="B824" s="649">
        <v>43887</v>
      </c>
      <c r="C824" s="662" t="s">
        <v>2351</v>
      </c>
      <c r="D824" s="651" t="s">
        <v>1678</v>
      </c>
      <c r="E824" s="651" t="s">
        <v>1682</v>
      </c>
      <c r="F824" s="663" t="s">
        <v>1683</v>
      </c>
      <c r="G824" s="651" t="s">
        <v>1684</v>
      </c>
      <c r="H824" s="651" t="s">
        <v>4403</v>
      </c>
      <c r="I824" s="679" t="s">
        <v>1668</v>
      </c>
      <c r="J824" s="684">
        <v>49088</v>
      </c>
      <c r="K824" s="684">
        <v>53.388800000000003</v>
      </c>
      <c r="L824" s="655">
        <f t="shared" si="84"/>
        <v>919.44377847039073</v>
      </c>
      <c r="M824" s="628">
        <v>60</v>
      </c>
      <c r="N824" s="667">
        <f t="shared" si="83"/>
        <v>818.13333333333333</v>
      </c>
      <c r="O824" s="668">
        <f t="shared" ca="1" si="81"/>
        <v>47</v>
      </c>
      <c r="P824" s="655">
        <f t="shared" ca="1" si="82"/>
        <v>10635.733333333337</v>
      </c>
      <c r="Q824" s="667">
        <f t="shared" ca="1" si="80"/>
        <v>10635.733333333337</v>
      </c>
      <c r="R824" s="669" t="s">
        <v>1429</v>
      </c>
    </row>
    <row r="825" spans="2:18" ht="47.1" customHeight="1" x14ac:dyDescent="0.25">
      <c r="B825" s="649">
        <v>43887</v>
      </c>
      <c r="C825" s="662" t="s">
        <v>2351</v>
      </c>
      <c r="D825" s="651" t="s">
        <v>1678</v>
      </c>
      <c r="E825" s="651" t="s">
        <v>1685</v>
      </c>
      <c r="F825" s="663" t="s">
        <v>1686</v>
      </c>
      <c r="G825" s="651" t="s">
        <v>1687</v>
      </c>
      <c r="H825" s="651" t="s">
        <v>4403</v>
      </c>
      <c r="I825" s="679" t="s">
        <v>1668</v>
      </c>
      <c r="J825" s="684">
        <v>28777.84</v>
      </c>
      <c r="K825" s="684">
        <v>53.388800000000003</v>
      </c>
      <c r="L825" s="655">
        <f t="shared" si="84"/>
        <v>539.02391512826659</v>
      </c>
      <c r="M825" s="628">
        <v>60</v>
      </c>
      <c r="N825" s="667">
        <f t="shared" si="83"/>
        <v>479.63066666666668</v>
      </c>
      <c r="O825" s="668">
        <f t="shared" ca="1" si="81"/>
        <v>47</v>
      </c>
      <c r="P825" s="655">
        <f t="shared" ca="1" si="82"/>
        <v>6235.1986666666671</v>
      </c>
      <c r="Q825" s="667">
        <f t="shared" ca="1" si="80"/>
        <v>6235.1986666666671</v>
      </c>
      <c r="R825" s="669" t="s">
        <v>1429</v>
      </c>
    </row>
    <row r="826" spans="2:18" ht="47.1" customHeight="1" x14ac:dyDescent="0.25">
      <c r="B826" s="649">
        <v>43887</v>
      </c>
      <c r="C826" s="662" t="s">
        <v>2351</v>
      </c>
      <c r="D826" s="651" t="s">
        <v>1678</v>
      </c>
      <c r="E826" s="651" t="s">
        <v>1688</v>
      </c>
      <c r="F826" s="663" t="s">
        <v>1686</v>
      </c>
      <c r="G826" s="651" t="s">
        <v>1689</v>
      </c>
      <c r="H826" s="651" t="s">
        <v>4403</v>
      </c>
      <c r="I826" s="679" t="s">
        <v>1668</v>
      </c>
      <c r="J826" s="684">
        <v>28777.84</v>
      </c>
      <c r="K826" s="684">
        <v>53.388800000000003</v>
      </c>
      <c r="L826" s="655">
        <f t="shared" si="84"/>
        <v>539.02391512826659</v>
      </c>
      <c r="M826" s="628">
        <v>60</v>
      </c>
      <c r="N826" s="667">
        <f t="shared" si="83"/>
        <v>479.63066666666668</v>
      </c>
      <c r="O826" s="668">
        <f t="shared" ca="1" si="81"/>
        <v>47</v>
      </c>
      <c r="P826" s="655">
        <f t="shared" ca="1" si="82"/>
        <v>6235.1986666666671</v>
      </c>
      <c r="Q826" s="667">
        <f t="shared" ca="1" si="80"/>
        <v>6235.1986666666671</v>
      </c>
      <c r="R826" s="669" t="s">
        <v>1429</v>
      </c>
    </row>
    <row r="827" spans="2:18" ht="47.1" customHeight="1" x14ac:dyDescent="0.25">
      <c r="B827" s="649">
        <v>43887</v>
      </c>
      <c r="C827" s="662" t="s">
        <v>2351</v>
      </c>
      <c r="D827" s="651" t="s">
        <v>1678</v>
      </c>
      <c r="E827" s="651" t="s">
        <v>1690</v>
      </c>
      <c r="F827" s="652" t="s">
        <v>4489</v>
      </c>
      <c r="G827" s="651" t="s">
        <v>28</v>
      </c>
      <c r="H827" s="651" t="s">
        <v>4403</v>
      </c>
      <c r="I827" s="679" t="s">
        <v>1668</v>
      </c>
      <c r="J827" s="684">
        <v>1840.8</v>
      </c>
      <c r="K827" s="684">
        <v>53.388800000000003</v>
      </c>
      <c r="L827" s="655">
        <f t="shared" si="84"/>
        <v>34.479141692639651</v>
      </c>
      <c r="M827" s="628">
        <v>60</v>
      </c>
      <c r="N827" s="667">
        <f t="shared" si="83"/>
        <v>30.68</v>
      </c>
      <c r="O827" s="668">
        <f t="shared" ca="1" si="81"/>
        <v>47</v>
      </c>
      <c r="P827" s="655">
        <f t="shared" ca="1" si="82"/>
        <v>398.83999999999992</v>
      </c>
      <c r="Q827" s="667">
        <f t="shared" ca="1" si="80"/>
        <v>398.83999999999992</v>
      </c>
      <c r="R827" s="669" t="s">
        <v>1429</v>
      </c>
    </row>
    <row r="828" spans="2:18" ht="47.1" customHeight="1" x14ac:dyDescent="0.25">
      <c r="B828" s="649">
        <v>43887</v>
      </c>
      <c r="C828" s="662" t="s">
        <v>2351</v>
      </c>
      <c r="D828" s="651" t="s">
        <v>1678</v>
      </c>
      <c r="E828" s="651" t="s">
        <v>1691</v>
      </c>
      <c r="F828" s="652" t="s">
        <v>4490</v>
      </c>
      <c r="G828" s="651" t="s">
        <v>28</v>
      </c>
      <c r="H828" s="651" t="s">
        <v>4403</v>
      </c>
      <c r="I828" s="679" t="s">
        <v>1668</v>
      </c>
      <c r="J828" s="684">
        <v>7316</v>
      </c>
      <c r="K828" s="684">
        <v>53.388800000000003</v>
      </c>
      <c r="L828" s="655">
        <f t="shared" si="84"/>
        <v>137.03248621433707</v>
      </c>
      <c r="M828" s="628">
        <v>60</v>
      </c>
      <c r="N828" s="667">
        <f t="shared" si="83"/>
        <v>121.93333333333334</v>
      </c>
      <c r="O828" s="668">
        <f t="shared" ca="1" si="81"/>
        <v>47</v>
      </c>
      <c r="P828" s="655">
        <f t="shared" ca="1" si="82"/>
        <v>1585.1333333333332</v>
      </c>
      <c r="Q828" s="667">
        <f t="shared" ca="1" si="80"/>
        <v>1585.1333333333332</v>
      </c>
      <c r="R828" s="669" t="s">
        <v>1429</v>
      </c>
    </row>
    <row r="829" spans="2:18" ht="47.1" customHeight="1" x14ac:dyDescent="0.25">
      <c r="B829" s="649">
        <v>43887</v>
      </c>
      <c r="C829" s="662" t="s">
        <v>2351</v>
      </c>
      <c r="D829" s="651" t="s">
        <v>1678</v>
      </c>
      <c r="E829" s="651" t="s">
        <v>1692</v>
      </c>
      <c r="F829" s="652" t="s">
        <v>4491</v>
      </c>
      <c r="G829" s="651" t="s">
        <v>28</v>
      </c>
      <c r="H829" s="651" t="s">
        <v>4403</v>
      </c>
      <c r="I829" s="679" t="s">
        <v>1668</v>
      </c>
      <c r="J829" s="684">
        <v>6626.88</v>
      </c>
      <c r="K829" s="684">
        <v>53.388800000000003</v>
      </c>
      <c r="L829" s="655">
        <f t="shared" si="84"/>
        <v>124.12491009350275</v>
      </c>
      <c r="M829" s="628">
        <v>60</v>
      </c>
      <c r="N829" s="667">
        <f t="shared" si="83"/>
        <v>110.44800000000001</v>
      </c>
      <c r="O829" s="668">
        <f t="shared" ca="1" si="81"/>
        <v>47</v>
      </c>
      <c r="P829" s="655">
        <f t="shared" ca="1" si="82"/>
        <v>1435.8239999999996</v>
      </c>
      <c r="Q829" s="667">
        <f t="shared" ca="1" si="80"/>
        <v>1435.8239999999996</v>
      </c>
      <c r="R829" s="669" t="s">
        <v>1429</v>
      </c>
    </row>
    <row r="830" spans="2:18" ht="47.1" customHeight="1" x14ac:dyDescent="0.25">
      <c r="B830" s="649">
        <v>43887</v>
      </c>
      <c r="C830" s="662" t="s">
        <v>2351</v>
      </c>
      <c r="D830" s="651" t="s">
        <v>1678</v>
      </c>
      <c r="E830" s="651" t="s">
        <v>1693</v>
      </c>
      <c r="F830" s="652" t="s">
        <v>1694</v>
      </c>
      <c r="G830" s="651" t="s">
        <v>28</v>
      </c>
      <c r="H830" s="651" t="s">
        <v>4403</v>
      </c>
      <c r="I830" s="679" t="s">
        <v>1668</v>
      </c>
      <c r="J830" s="684">
        <v>14726.4</v>
      </c>
      <c r="K830" s="684">
        <v>53.388800000000003</v>
      </c>
      <c r="L830" s="655">
        <f t="shared" si="84"/>
        <v>275.83313354111721</v>
      </c>
      <c r="M830" s="628">
        <v>60</v>
      </c>
      <c r="N830" s="667">
        <f t="shared" si="83"/>
        <v>245.44</v>
      </c>
      <c r="O830" s="668">
        <f t="shared" ca="1" si="81"/>
        <v>47</v>
      </c>
      <c r="P830" s="655">
        <f t="shared" ca="1" si="82"/>
        <v>3190.7199999999993</v>
      </c>
      <c r="Q830" s="667">
        <f t="shared" ca="1" si="80"/>
        <v>3190.7199999999993</v>
      </c>
      <c r="R830" s="669" t="s">
        <v>1429</v>
      </c>
    </row>
    <row r="831" spans="2:18" ht="47.1" customHeight="1" x14ac:dyDescent="0.25">
      <c r="B831" s="649">
        <v>43887</v>
      </c>
      <c r="C831" s="662" t="s">
        <v>2351</v>
      </c>
      <c r="D831" s="651" t="s">
        <v>1678</v>
      </c>
      <c r="E831" s="651" t="s">
        <v>1695</v>
      </c>
      <c r="F831" s="652" t="s">
        <v>1694</v>
      </c>
      <c r="G831" s="651" t="s">
        <v>28</v>
      </c>
      <c r="H831" s="651" t="s">
        <v>4403</v>
      </c>
      <c r="I831" s="679" t="s">
        <v>1668</v>
      </c>
      <c r="J831" s="684">
        <v>14726.4</v>
      </c>
      <c r="K831" s="684">
        <v>53.388800000000003</v>
      </c>
      <c r="L831" s="655">
        <f t="shared" si="84"/>
        <v>275.83313354111721</v>
      </c>
      <c r="M831" s="628">
        <v>60</v>
      </c>
      <c r="N831" s="667">
        <f t="shared" si="83"/>
        <v>245.44</v>
      </c>
      <c r="O831" s="668">
        <f t="shared" ca="1" si="81"/>
        <v>47</v>
      </c>
      <c r="P831" s="655">
        <f t="shared" ca="1" si="82"/>
        <v>3190.7199999999993</v>
      </c>
      <c r="Q831" s="667">
        <f t="shared" ca="1" si="80"/>
        <v>3190.7199999999993</v>
      </c>
      <c r="R831" s="669" t="s">
        <v>1429</v>
      </c>
    </row>
    <row r="832" spans="2:18" ht="47.1" customHeight="1" x14ac:dyDescent="0.25">
      <c r="B832" s="649">
        <v>43887</v>
      </c>
      <c r="C832" s="662" t="s">
        <v>2351</v>
      </c>
      <c r="D832" s="651" t="s">
        <v>1678</v>
      </c>
      <c r="E832" s="651" t="s">
        <v>1696</v>
      </c>
      <c r="F832" s="652" t="s">
        <v>4492</v>
      </c>
      <c r="G832" s="651" t="s">
        <v>28</v>
      </c>
      <c r="H832" s="651" t="s">
        <v>4403</v>
      </c>
      <c r="I832" s="679" t="s">
        <v>1668</v>
      </c>
      <c r="J832" s="684">
        <v>7363.2</v>
      </c>
      <c r="K832" s="684">
        <v>53.388800000000003</v>
      </c>
      <c r="L832" s="655">
        <f t="shared" si="84"/>
        <v>137.9165667705586</v>
      </c>
      <c r="M832" s="628">
        <v>60</v>
      </c>
      <c r="N832" s="667">
        <f t="shared" si="83"/>
        <v>122.72</v>
      </c>
      <c r="O832" s="668">
        <f t="shared" ca="1" si="81"/>
        <v>47</v>
      </c>
      <c r="P832" s="655">
        <f t="shared" ca="1" si="82"/>
        <v>1595.3599999999997</v>
      </c>
      <c r="Q832" s="667">
        <f t="shared" ca="1" si="80"/>
        <v>1595.3599999999997</v>
      </c>
      <c r="R832" s="669" t="s">
        <v>1429</v>
      </c>
    </row>
    <row r="833" spans="1:18" ht="47.1" customHeight="1" x14ac:dyDescent="0.25">
      <c r="B833" s="649">
        <v>43887</v>
      </c>
      <c r="C833" s="662" t="s">
        <v>2351</v>
      </c>
      <c r="D833" s="651" t="s">
        <v>1678</v>
      </c>
      <c r="E833" s="651" t="s">
        <v>1697</v>
      </c>
      <c r="F833" s="652" t="s">
        <v>1698</v>
      </c>
      <c r="G833" s="651">
        <v>2019090958</v>
      </c>
      <c r="H833" s="651" t="s">
        <v>4403</v>
      </c>
      <c r="I833" s="679" t="s">
        <v>1668</v>
      </c>
      <c r="J833" s="684">
        <v>92040</v>
      </c>
      <c r="K833" s="684">
        <v>53.388800000000003</v>
      </c>
      <c r="L833" s="655">
        <f t="shared" si="84"/>
        <v>1723.9570846319825</v>
      </c>
      <c r="M833" s="628">
        <v>60</v>
      </c>
      <c r="N833" s="667">
        <f t="shared" si="83"/>
        <v>1534</v>
      </c>
      <c r="O833" s="668">
        <f t="shared" ca="1" si="81"/>
        <v>47</v>
      </c>
      <c r="P833" s="655">
        <f t="shared" ca="1" si="82"/>
        <v>19942</v>
      </c>
      <c r="Q833" s="667">
        <f t="shared" ca="1" si="80"/>
        <v>19942</v>
      </c>
      <c r="R833" s="669" t="s">
        <v>1429</v>
      </c>
    </row>
    <row r="834" spans="1:18" ht="47.1" customHeight="1" x14ac:dyDescent="0.25">
      <c r="B834" s="649">
        <v>43887</v>
      </c>
      <c r="C834" s="662" t="s">
        <v>2351</v>
      </c>
      <c r="D834" s="651" t="s">
        <v>1678</v>
      </c>
      <c r="E834" s="651" t="s">
        <v>1699</v>
      </c>
      <c r="F834" s="652" t="s">
        <v>1700</v>
      </c>
      <c r="G834" s="651" t="s">
        <v>28</v>
      </c>
      <c r="H834" s="651" t="s">
        <v>4403</v>
      </c>
      <c r="I834" s="679" t="s">
        <v>1668</v>
      </c>
      <c r="J834" s="684">
        <v>26078</v>
      </c>
      <c r="K834" s="684">
        <v>53.388800000000003</v>
      </c>
      <c r="L834" s="655">
        <f t="shared" si="84"/>
        <v>488.45450731239509</v>
      </c>
      <c r="M834" s="628">
        <v>60</v>
      </c>
      <c r="N834" s="667">
        <f t="shared" si="83"/>
        <v>434.63333333333333</v>
      </c>
      <c r="O834" s="668">
        <f t="shared" ca="1" si="81"/>
        <v>47</v>
      </c>
      <c r="P834" s="655">
        <f t="shared" ca="1" si="82"/>
        <v>5650.2333333333336</v>
      </c>
      <c r="Q834" s="667">
        <f t="shared" ca="1" si="80"/>
        <v>5650.2333333333336</v>
      </c>
      <c r="R834" s="669" t="s">
        <v>1429</v>
      </c>
    </row>
    <row r="835" spans="1:18" ht="47.1" customHeight="1" x14ac:dyDescent="0.25">
      <c r="B835" s="649">
        <v>43887</v>
      </c>
      <c r="C835" s="662" t="s">
        <v>2351</v>
      </c>
      <c r="D835" s="651" t="s">
        <v>1678</v>
      </c>
      <c r="E835" s="651" t="s">
        <v>1701</v>
      </c>
      <c r="F835" s="652" t="s">
        <v>1444</v>
      </c>
      <c r="G835" s="651" t="s">
        <v>28</v>
      </c>
      <c r="H835" s="651" t="s">
        <v>4403</v>
      </c>
      <c r="I835" s="679" t="s">
        <v>1668</v>
      </c>
      <c r="J835" s="684">
        <v>17794.400000000001</v>
      </c>
      <c r="K835" s="684">
        <v>53.388800000000003</v>
      </c>
      <c r="L835" s="655">
        <f t="shared" si="84"/>
        <v>333.29836969551667</v>
      </c>
      <c r="M835" s="628">
        <v>60</v>
      </c>
      <c r="N835" s="667">
        <f t="shared" si="83"/>
        <v>296.57333333333338</v>
      </c>
      <c r="O835" s="668">
        <f t="shared" ca="1" si="81"/>
        <v>47</v>
      </c>
      <c r="P835" s="655">
        <f t="shared" ca="1" si="82"/>
        <v>3855.4533333333329</v>
      </c>
      <c r="Q835" s="667">
        <f t="shared" ca="1" si="80"/>
        <v>3855.4533333333329</v>
      </c>
      <c r="R835" s="669" t="s">
        <v>1429</v>
      </c>
    </row>
    <row r="836" spans="1:18" ht="47.1" customHeight="1" x14ac:dyDescent="0.25">
      <c r="B836" s="649">
        <v>43887</v>
      </c>
      <c r="C836" s="662" t="s">
        <v>2351</v>
      </c>
      <c r="D836" s="651" t="s">
        <v>1678</v>
      </c>
      <c r="E836" s="651" t="s">
        <v>1702</v>
      </c>
      <c r="F836" s="652" t="s">
        <v>1444</v>
      </c>
      <c r="G836" s="651" t="s">
        <v>28</v>
      </c>
      <c r="H836" s="651" t="s">
        <v>4403</v>
      </c>
      <c r="I836" s="679" t="s">
        <v>1668</v>
      </c>
      <c r="J836" s="684">
        <v>17794.400000000001</v>
      </c>
      <c r="K836" s="684">
        <v>53.388800000000003</v>
      </c>
      <c r="L836" s="655">
        <f t="shared" si="84"/>
        <v>333.29836969551667</v>
      </c>
      <c r="M836" s="628">
        <v>60</v>
      </c>
      <c r="N836" s="667">
        <f t="shared" si="83"/>
        <v>296.57333333333338</v>
      </c>
      <c r="O836" s="668">
        <f t="shared" ca="1" si="81"/>
        <v>47</v>
      </c>
      <c r="P836" s="655">
        <f t="shared" ca="1" si="82"/>
        <v>3855.4533333333329</v>
      </c>
      <c r="Q836" s="667">
        <f t="shared" ca="1" si="80"/>
        <v>3855.4533333333329</v>
      </c>
      <c r="R836" s="669" t="s">
        <v>1429</v>
      </c>
    </row>
    <row r="837" spans="1:18" ht="47.1" customHeight="1" x14ac:dyDescent="0.25">
      <c r="B837" s="649">
        <v>43887</v>
      </c>
      <c r="C837" s="662" t="s">
        <v>2351</v>
      </c>
      <c r="D837" s="651" t="s">
        <v>1678</v>
      </c>
      <c r="E837" s="651" t="s">
        <v>1703</v>
      </c>
      <c r="F837" s="652" t="s">
        <v>4493</v>
      </c>
      <c r="G837" s="651" t="s">
        <v>28</v>
      </c>
      <c r="H837" s="651" t="s">
        <v>4403</v>
      </c>
      <c r="I837" s="679" t="s">
        <v>1668</v>
      </c>
      <c r="J837" s="684">
        <v>25280.32</v>
      </c>
      <c r="K837" s="684">
        <v>53.388800000000003</v>
      </c>
      <c r="L837" s="655">
        <f t="shared" si="84"/>
        <v>473.51354591225123</v>
      </c>
      <c r="M837" s="628">
        <v>60</v>
      </c>
      <c r="N837" s="667">
        <f t="shared" si="83"/>
        <v>421.33866666666665</v>
      </c>
      <c r="O837" s="668">
        <f t="shared" ca="1" si="81"/>
        <v>47</v>
      </c>
      <c r="P837" s="655">
        <f t="shared" ca="1" si="82"/>
        <v>5477.4026666666687</v>
      </c>
      <c r="Q837" s="667">
        <f t="shared" ca="1" si="80"/>
        <v>5477.4026666666687</v>
      </c>
      <c r="R837" s="669" t="s">
        <v>1429</v>
      </c>
    </row>
    <row r="838" spans="1:18" ht="67.5" customHeight="1" x14ac:dyDescent="0.25">
      <c r="B838" s="649">
        <v>43983</v>
      </c>
      <c r="C838" s="662" t="s">
        <v>2351</v>
      </c>
      <c r="D838" s="651" t="s">
        <v>1704</v>
      </c>
      <c r="E838" s="651" t="s">
        <v>1705</v>
      </c>
      <c r="F838" s="652" t="s">
        <v>4494</v>
      </c>
      <c r="G838" s="651" t="s">
        <v>1706</v>
      </c>
      <c r="H838" s="651" t="s">
        <v>4403</v>
      </c>
      <c r="I838" s="679" t="s">
        <v>1668</v>
      </c>
      <c r="J838" s="684">
        <v>849.6</v>
      </c>
      <c r="K838" s="684">
        <v>57.126899999999999</v>
      </c>
      <c r="L838" s="655">
        <f t="shared" si="84"/>
        <v>14.872153048738861</v>
      </c>
      <c r="M838" s="628">
        <v>60</v>
      </c>
      <c r="N838" s="667">
        <f t="shared" si="83"/>
        <v>14.16</v>
      </c>
      <c r="O838" s="668">
        <f t="shared" ca="1" si="81"/>
        <v>44</v>
      </c>
      <c r="P838" s="655">
        <f t="shared" ca="1" si="82"/>
        <v>226.56000000000006</v>
      </c>
      <c r="Q838" s="667">
        <f t="shared" ca="1" si="80"/>
        <v>226.56000000000006</v>
      </c>
      <c r="R838" s="669" t="s">
        <v>1707</v>
      </c>
    </row>
    <row r="839" spans="1:18" ht="72" customHeight="1" x14ac:dyDescent="0.25">
      <c r="B839" s="649">
        <v>43983</v>
      </c>
      <c r="C839" s="662" t="s">
        <v>2351</v>
      </c>
      <c r="D839" s="651" t="s">
        <v>1704</v>
      </c>
      <c r="E839" s="651" t="s">
        <v>1708</v>
      </c>
      <c r="F839" s="652" t="s">
        <v>4495</v>
      </c>
      <c r="G839" s="651" t="s">
        <v>1709</v>
      </c>
      <c r="H839" s="651" t="s">
        <v>4403</v>
      </c>
      <c r="I839" s="679" t="s">
        <v>1668</v>
      </c>
      <c r="J839" s="684">
        <v>9109.6</v>
      </c>
      <c r="K839" s="684">
        <v>57.126899999999999</v>
      </c>
      <c r="L839" s="655">
        <f t="shared" si="84"/>
        <v>159.46252991147779</v>
      </c>
      <c r="M839" s="628">
        <v>60</v>
      </c>
      <c r="N839" s="667">
        <f t="shared" si="83"/>
        <v>151.82666666666668</v>
      </c>
      <c r="O839" s="668">
        <f t="shared" ca="1" si="81"/>
        <v>44</v>
      </c>
      <c r="P839" s="655">
        <f t="shared" ca="1" si="82"/>
        <v>2429.2266666666665</v>
      </c>
      <c r="Q839" s="667">
        <f t="shared" ca="1" si="80"/>
        <v>2429.2266666666665</v>
      </c>
      <c r="R839" s="669" t="s">
        <v>1707</v>
      </c>
    </row>
    <row r="840" spans="1:18" ht="47.1" customHeight="1" x14ac:dyDescent="0.25">
      <c r="B840" s="649">
        <v>44004</v>
      </c>
      <c r="C840" s="662" t="s">
        <v>2351</v>
      </c>
      <c r="D840" s="651" t="s">
        <v>1710</v>
      </c>
      <c r="E840" s="651" t="s">
        <v>1711</v>
      </c>
      <c r="F840" s="652" t="s">
        <v>1712</v>
      </c>
      <c r="G840" s="651" t="s">
        <v>1713</v>
      </c>
      <c r="H840" s="651" t="s">
        <v>4403</v>
      </c>
      <c r="I840" s="679" t="s">
        <v>1668</v>
      </c>
      <c r="J840" s="684">
        <v>81862.5</v>
      </c>
      <c r="K840" s="684">
        <v>58.142499999999998</v>
      </c>
      <c r="L840" s="655">
        <f t="shared" si="84"/>
        <v>1407.9631938771124</v>
      </c>
      <c r="M840" s="628">
        <v>60</v>
      </c>
      <c r="N840" s="667">
        <f t="shared" si="83"/>
        <v>1364.375</v>
      </c>
      <c r="O840" s="668">
        <f t="shared" ca="1" si="81"/>
        <v>43</v>
      </c>
      <c r="P840" s="655">
        <f t="shared" ca="1" si="82"/>
        <v>23194.375</v>
      </c>
      <c r="Q840" s="667">
        <f t="shared" ref="Q840:Q903" ca="1" si="85">IF(P840&lt;1,1,P840)</f>
        <v>23194.375</v>
      </c>
      <c r="R840" s="669" t="s">
        <v>1589</v>
      </c>
    </row>
    <row r="841" spans="1:18" ht="47.1" customHeight="1" x14ac:dyDescent="0.25">
      <c r="B841" s="649">
        <v>44004</v>
      </c>
      <c r="C841" s="662" t="s">
        <v>2351</v>
      </c>
      <c r="D841" s="651" t="s">
        <v>1710</v>
      </c>
      <c r="E841" s="651" t="s">
        <v>1714</v>
      </c>
      <c r="F841" s="652" t="s">
        <v>1712</v>
      </c>
      <c r="G841" s="651" t="s">
        <v>1715</v>
      </c>
      <c r="H841" s="651" t="s">
        <v>4403</v>
      </c>
      <c r="I841" s="679" t="s">
        <v>1668</v>
      </c>
      <c r="J841" s="684">
        <v>81862.5</v>
      </c>
      <c r="K841" s="684">
        <v>58.142499999999998</v>
      </c>
      <c r="L841" s="655">
        <f t="shared" si="84"/>
        <v>1407.9631938771124</v>
      </c>
      <c r="M841" s="628">
        <v>60</v>
      </c>
      <c r="N841" s="667">
        <f t="shared" si="83"/>
        <v>1364.375</v>
      </c>
      <c r="O841" s="668">
        <f t="shared" ca="1" si="81"/>
        <v>43</v>
      </c>
      <c r="P841" s="655">
        <f t="shared" ca="1" si="82"/>
        <v>23194.375</v>
      </c>
      <c r="Q841" s="667">
        <f t="shared" ca="1" si="85"/>
        <v>23194.375</v>
      </c>
      <c r="R841" s="669" t="s">
        <v>1589</v>
      </c>
    </row>
    <row r="842" spans="1:18" ht="47.1" customHeight="1" x14ac:dyDescent="0.25">
      <c r="B842" s="649">
        <v>44004</v>
      </c>
      <c r="C842" s="662" t="s">
        <v>2351</v>
      </c>
      <c r="D842" s="651" t="s">
        <v>1710</v>
      </c>
      <c r="E842" s="651" t="s">
        <v>1716</v>
      </c>
      <c r="F842" s="652" t="s">
        <v>1717</v>
      </c>
      <c r="G842" s="651" t="s">
        <v>1718</v>
      </c>
      <c r="H842" s="651" t="s">
        <v>4403</v>
      </c>
      <c r="I842" s="679" t="s">
        <v>1668</v>
      </c>
      <c r="J842" s="684">
        <v>15717.6</v>
      </c>
      <c r="K842" s="684">
        <v>58.142499999999998</v>
      </c>
      <c r="L842" s="655">
        <f t="shared" si="84"/>
        <v>270.32893322440555</v>
      </c>
      <c r="M842" s="628">
        <v>60</v>
      </c>
      <c r="N842" s="667">
        <f t="shared" si="83"/>
        <v>261.95999999999998</v>
      </c>
      <c r="O842" s="668">
        <f t="shared" ca="1" si="81"/>
        <v>43</v>
      </c>
      <c r="P842" s="655">
        <f t="shared" ca="1" si="82"/>
        <v>4453.3200000000015</v>
      </c>
      <c r="Q842" s="667">
        <f t="shared" ca="1" si="85"/>
        <v>4453.3200000000015</v>
      </c>
      <c r="R842" s="669" t="s">
        <v>1589</v>
      </c>
    </row>
    <row r="843" spans="1:18" ht="47.1" customHeight="1" x14ac:dyDescent="0.25">
      <c r="B843" s="649">
        <v>44004</v>
      </c>
      <c r="C843" s="662" t="s">
        <v>2351</v>
      </c>
      <c r="D843" s="651" t="s">
        <v>1710</v>
      </c>
      <c r="E843" s="651" t="s">
        <v>1719</v>
      </c>
      <c r="F843" s="652" t="s">
        <v>1717</v>
      </c>
      <c r="G843" s="651" t="s">
        <v>1720</v>
      </c>
      <c r="H843" s="651" t="s">
        <v>4403</v>
      </c>
      <c r="I843" s="679" t="s">
        <v>1668</v>
      </c>
      <c r="J843" s="684">
        <v>15717.6</v>
      </c>
      <c r="K843" s="684">
        <v>58.142499999999998</v>
      </c>
      <c r="L843" s="655">
        <f t="shared" si="84"/>
        <v>270.32893322440555</v>
      </c>
      <c r="M843" s="628">
        <v>60</v>
      </c>
      <c r="N843" s="667">
        <f t="shared" si="83"/>
        <v>261.95999999999998</v>
      </c>
      <c r="O843" s="668">
        <f t="shared" ref="O843:O906" ca="1" si="86">IF(B843&lt;&gt;0,(ROUND((NOW()-B843)/30,0)),0)</f>
        <v>43</v>
      </c>
      <c r="P843" s="655">
        <f t="shared" ca="1" si="82"/>
        <v>4453.3200000000015</v>
      </c>
      <c r="Q843" s="667">
        <f t="shared" ca="1" si="85"/>
        <v>4453.3200000000015</v>
      </c>
      <c r="R843" s="669" t="s">
        <v>1589</v>
      </c>
    </row>
    <row r="844" spans="1:18" ht="47.1" customHeight="1" x14ac:dyDescent="0.25">
      <c r="B844" s="649">
        <v>44511</v>
      </c>
      <c r="C844" s="662">
        <v>44532</v>
      </c>
      <c r="D844" s="651" t="s">
        <v>1721</v>
      </c>
      <c r="E844" s="651" t="s">
        <v>1722</v>
      </c>
      <c r="F844" s="652" t="s">
        <v>1723</v>
      </c>
      <c r="G844" s="651" t="s">
        <v>1724</v>
      </c>
      <c r="H844" s="651" t="s">
        <v>4404</v>
      </c>
      <c r="I844" s="679" t="s">
        <v>4406</v>
      </c>
      <c r="J844" s="684">
        <v>3185549.6</v>
      </c>
      <c r="K844" s="684">
        <v>56.469700000000003</v>
      </c>
      <c r="L844" s="655">
        <f t="shared" si="84"/>
        <v>56411.661475091947</v>
      </c>
      <c r="M844" s="628">
        <v>60</v>
      </c>
      <c r="N844" s="667">
        <f t="shared" si="83"/>
        <v>53092.493333333332</v>
      </c>
      <c r="O844" s="668">
        <f t="shared" ca="1" si="86"/>
        <v>26</v>
      </c>
      <c r="P844" s="655">
        <f t="shared" ref="P844:P907" ca="1" si="87">IF(OR(J844=0,M844=0,O844=0),0,J844-(N844*O844))</f>
        <v>1805144.7733333334</v>
      </c>
      <c r="Q844" s="667">
        <f t="shared" ca="1" si="85"/>
        <v>1805144.7733333334</v>
      </c>
      <c r="R844" s="669" t="s">
        <v>1725</v>
      </c>
    </row>
    <row r="845" spans="1:18" ht="65.25" customHeight="1" x14ac:dyDescent="0.25">
      <c r="A845" s="395"/>
      <c r="B845" s="649">
        <v>44511</v>
      </c>
      <c r="C845" s="662">
        <v>44532</v>
      </c>
      <c r="D845" s="651" t="s">
        <v>1726</v>
      </c>
      <c r="E845" s="651" t="s">
        <v>1727</v>
      </c>
      <c r="F845" s="652" t="s">
        <v>1728</v>
      </c>
      <c r="G845" s="651" t="s">
        <v>1729</v>
      </c>
      <c r="H845" s="651" t="s">
        <v>4405</v>
      </c>
      <c r="I845" s="679" t="s">
        <v>4407</v>
      </c>
      <c r="J845" s="684">
        <v>3185549.6</v>
      </c>
      <c r="K845" s="684">
        <v>56.469700000000003</v>
      </c>
      <c r="L845" s="655">
        <f t="shared" si="84"/>
        <v>56411.661475091947</v>
      </c>
      <c r="M845" s="628">
        <v>60</v>
      </c>
      <c r="N845" s="667">
        <f t="shared" si="83"/>
        <v>53092.493333333332</v>
      </c>
      <c r="O845" s="668">
        <f t="shared" ca="1" si="86"/>
        <v>26</v>
      </c>
      <c r="P845" s="655">
        <f t="shared" ca="1" si="87"/>
        <v>1805144.7733333334</v>
      </c>
      <c r="Q845" s="667">
        <f t="shared" ca="1" si="85"/>
        <v>1805144.7733333334</v>
      </c>
      <c r="R845" s="669" t="s">
        <v>1725</v>
      </c>
    </row>
    <row r="846" spans="1:18" ht="42.75" x14ac:dyDescent="0.25">
      <c r="A846" s="395"/>
      <c r="B846" s="688">
        <v>44622</v>
      </c>
      <c r="C846" s="688" t="s">
        <v>2351</v>
      </c>
      <c r="D846" s="651" t="s">
        <v>1730</v>
      </c>
      <c r="E846" s="651" t="s">
        <v>1731</v>
      </c>
      <c r="F846" s="652" t="s">
        <v>1732</v>
      </c>
      <c r="G846" s="651" t="s">
        <v>1733</v>
      </c>
      <c r="H846" s="651" t="s">
        <v>1734</v>
      </c>
      <c r="I846" s="679" t="s">
        <v>19</v>
      </c>
      <c r="J846" s="684">
        <v>194995.01</v>
      </c>
      <c r="K846" s="684">
        <v>54.523000000000003</v>
      </c>
      <c r="L846" s="655">
        <f t="shared" ref="L846:L909" si="88">+J846/K846</f>
        <v>3576.3807934266274</v>
      </c>
      <c r="M846" s="628">
        <v>60</v>
      </c>
      <c r="N846" s="667">
        <f t="shared" si="83"/>
        <v>3249.9168333333337</v>
      </c>
      <c r="O846" s="668">
        <f t="shared" ca="1" si="86"/>
        <v>23</v>
      </c>
      <c r="P846" s="655">
        <f t="shared" ca="1" si="87"/>
        <v>120246.92283333333</v>
      </c>
      <c r="Q846" s="667">
        <f t="shared" ca="1" si="85"/>
        <v>120246.92283333333</v>
      </c>
      <c r="R846" s="669" t="s">
        <v>1104</v>
      </c>
    </row>
    <row r="847" spans="1:18" ht="65.099999999999994" customHeight="1" x14ac:dyDescent="0.25">
      <c r="B847" s="688">
        <v>44622</v>
      </c>
      <c r="C847" s="688" t="s">
        <v>2351</v>
      </c>
      <c r="D847" s="651" t="s">
        <v>1730</v>
      </c>
      <c r="E847" s="651" t="s">
        <v>1735</v>
      </c>
      <c r="F847" s="652" t="s">
        <v>1732</v>
      </c>
      <c r="G847" s="651" t="s">
        <v>1736</v>
      </c>
      <c r="H847" s="651" t="s">
        <v>1737</v>
      </c>
      <c r="I847" s="679" t="s">
        <v>19</v>
      </c>
      <c r="J847" s="684">
        <v>194995.01</v>
      </c>
      <c r="K847" s="684">
        <v>54.523000000000003</v>
      </c>
      <c r="L847" s="655">
        <f t="shared" si="88"/>
        <v>3576.3807934266274</v>
      </c>
      <c r="M847" s="628">
        <v>60</v>
      </c>
      <c r="N847" s="667">
        <f t="shared" si="83"/>
        <v>3249.9168333333337</v>
      </c>
      <c r="O847" s="668">
        <f t="shared" ca="1" si="86"/>
        <v>23</v>
      </c>
      <c r="P847" s="655">
        <f t="shared" ca="1" si="87"/>
        <v>120246.92283333333</v>
      </c>
      <c r="Q847" s="667">
        <f t="shared" ca="1" si="85"/>
        <v>120246.92283333333</v>
      </c>
      <c r="R847" s="669" t="s">
        <v>1104</v>
      </c>
    </row>
    <row r="848" spans="1:18" ht="65.099999999999994" customHeight="1" x14ac:dyDescent="0.25">
      <c r="B848" s="688">
        <v>44622</v>
      </c>
      <c r="C848" s="688" t="s">
        <v>2351</v>
      </c>
      <c r="D848" s="651" t="s">
        <v>1730</v>
      </c>
      <c r="E848" s="651" t="s">
        <v>1738</v>
      </c>
      <c r="F848" s="652" t="s">
        <v>1739</v>
      </c>
      <c r="G848" s="651" t="s">
        <v>1740</v>
      </c>
      <c r="H848" s="651" t="s">
        <v>1741</v>
      </c>
      <c r="I848" s="679" t="s">
        <v>19</v>
      </c>
      <c r="J848" s="684">
        <v>100840.01</v>
      </c>
      <c r="K848" s="684">
        <v>54.523000000000003</v>
      </c>
      <c r="L848" s="655">
        <f t="shared" si="88"/>
        <v>1849.4948920638994</v>
      </c>
      <c r="M848" s="628">
        <v>60</v>
      </c>
      <c r="N848" s="667">
        <f t="shared" si="83"/>
        <v>1680.6668333333332</v>
      </c>
      <c r="O848" s="668">
        <f t="shared" ca="1" si="86"/>
        <v>23</v>
      </c>
      <c r="P848" s="655">
        <f t="shared" ca="1" si="87"/>
        <v>62184.67283333333</v>
      </c>
      <c r="Q848" s="667">
        <f t="shared" ca="1" si="85"/>
        <v>62184.67283333333</v>
      </c>
      <c r="R848" s="669" t="s">
        <v>1104</v>
      </c>
    </row>
    <row r="849" spans="2:18" ht="65.099999999999994" customHeight="1" x14ac:dyDescent="0.25">
      <c r="B849" s="688">
        <v>44622</v>
      </c>
      <c r="C849" s="688" t="s">
        <v>2351</v>
      </c>
      <c r="D849" s="651" t="s">
        <v>1730</v>
      </c>
      <c r="E849" s="651" t="s">
        <v>1742</v>
      </c>
      <c r="F849" s="652" t="s">
        <v>1739</v>
      </c>
      <c r="G849" s="651" t="s">
        <v>1743</v>
      </c>
      <c r="H849" s="651" t="s">
        <v>1744</v>
      </c>
      <c r="I849" s="679" t="s">
        <v>19</v>
      </c>
      <c r="J849" s="684">
        <v>100840.01</v>
      </c>
      <c r="K849" s="684">
        <v>54.523000000000003</v>
      </c>
      <c r="L849" s="655">
        <f t="shared" si="88"/>
        <v>1849.4948920638994</v>
      </c>
      <c r="M849" s="628">
        <v>60</v>
      </c>
      <c r="N849" s="667">
        <f t="shared" si="83"/>
        <v>1680.6668333333332</v>
      </c>
      <c r="O849" s="668">
        <f t="shared" ca="1" si="86"/>
        <v>23</v>
      </c>
      <c r="P849" s="655">
        <f t="shared" ca="1" si="87"/>
        <v>62184.67283333333</v>
      </c>
      <c r="Q849" s="667">
        <f t="shared" ca="1" si="85"/>
        <v>62184.67283333333</v>
      </c>
      <c r="R849" s="669" t="s">
        <v>1104</v>
      </c>
    </row>
    <row r="850" spans="2:18" ht="65.099999999999994" customHeight="1" x14ac:dyDescent="0.25">
      <c r="B850" s="688">
        <v>44622</v>
      </c>
      <c r="C850" s="688" t="s">
        <v>2351</v>
      </c>
      <c r="D850" s="651" t="s">
        <v>1730</v>
      </c>
      <c r="E850" s="651" t="s">
        <v>1745</v>
      </c>
      <c r="F850" s="652" t="s">
        <v>1746</v>
      </c>
      <c r="G850" s="651" t="s">
        <v>1747</v>
      </c>
      <c r="H850" s="651" t="s">
        <v>1748</v>
      </c>
      <c r="I850" s="679" t="s">
        <v>19</v>
      </c>
      <c r="J850" s="684">
        <v>54474.99</v>
      </c>
      <c r="K850" s="684">
        <v>54.523000000000003</v>
      </c>
      <c r="L850" s="655">
        <f t="shared" si="88"/>
        <v>999.11945417530205</v>
      </c>
      <c r="M850" s="628">
        <v>60</v>
      </c>
      <c r="N850" s="667">
        <f t="shared" ref="N850:N913" si="89">IF(AND(J850&lt;&gt;0,M850&lt;&gt;0),J850/M850,0)</f>
        <v>907.91649999999993</v>
      </c>
      <c r="O850" s="668">
        <f t="shared" ca="1" si="86"/>
        <v>23</v>
      </c>
      <c r="P850" s="655">
        <f t="shared" ca="1" si="87"/>
        <v>33592.910499999998</v>
      </c>
      <c r="Q850" s="667">
        <f t="shared" ca="1" si="85"/>
        <v>33592.910499999998</v>
      </c>
      <c r="R850" s="669" t="s">
        <v>1104</v>
      </c>
    </row>
    <row r="851" spans="2:18" ht="65.099999999999994" customHeight="1" x14ac:dyDescent="0.25">
      <c r="B851" s="688">
        <v>44622</v>
      </c>
      <c r="C851" s="688" t="s">
        <v>2351</v>
      </c>
      <c r="D851" s="651" t="s">
        <v>1730</v>
      </c>
      <c r="E851" s="651" t="s">
        <v>1749</v>
      </c>
      <c r="F851" s="652" t="s">
        <v>1746</v>
      </c>
      <c r="G851" s="651" t="s">
        <v>1750</v>
      </c>
      <c r="H851" s="651" t="s">
        <v>1751</v>
      </c>
      <c r="I851" s="679" t="s">
        <v>19</v>
      </c>
      <c r="J851" s="684">
        <v>54474.99</v>
      </c>
      <c r="K851" s="684">
        <v>54.523000000000003</v>
      </c>
      <c r="L851" s="655">
        <f t="shared" si="88"/>
        <v>999.11945417530205</v>
      </c>
      <c r="M851" s="628">
        <v>60</v>
      </c>
      <c r="N851" s="667">
        <f t="shared" si="89"/>
        <v>907.91649999999993</v>
      </c>
      <c r="O851" s="668">
        <f t="shared" ca="1" si="86"/>
        <v>23</v>
      </c>
      <c r="P851" s="655">
        <f t="shared" ca="1" si="87"/>
        <v>33592.910499999998</v>
      </c>
      <c r="Q851" s="667">
        <f t="shared" ca="1" si="85"/>
        <v>33592.910499999998</v>
      </c>
      <c r="R851" s="669" t="s">
        <v>1104</v>
      </c>
    </row>
    <row r="852" spans="2:18" ht="65.099999999999994" customHeight="1" x14ac:dyDescent="0.25">
      <c r="B852" s="688">
        <v>44622</v>
      </c>
      <c r="C852" s="688" t="s">
        <v>2351</v>
      </c>
      <c r="D852" s="651" t="s">
        <v>1730</v>
      </c>
      <c r="E852" s="651" t="s">
        <v>1752</v>
      </c>
      <c r="F852" s="652" t="s">
        <v>1746</v>
      </c>
      <c r="G852" s="651" t="s">
        <v>1753</v>
      </c>
      <c r="H852" s="651" t="s">
        <v>1754</v>
      </c>
      <c r="I852" s="679" t="s">
        <v>19</v>
      </c>
      <c r="J852" s="684">
        <v>54474.99</v>
      </c>
      <c r="K852" s="684">
        <v>54.523000000000003</v>
      </c>
      <c r="L852" s="655">
        <f t="shared" si="88"/>
        <v>999.11945417530205</v>
      </c>
      <c r="M852" s="628">
        <v>60</v>
      </c>
      <c r="N852" s="667">
        <f t="shared" si="89"/>
        <v>907.91649999999993</v>
      </c>
      <c r="O852" s="668">
        <f t="shared" ca="1" si="86"/>
        <v>23</v>
      </c>
      <c r="P852" s="655">
        <f t="shared" ca="1" si="87"/>
        <v>33592.910499999998</v>
      </c>
      <c r="Q852" s="667">
        <f t="shared" ca="1" si="85"/>
        <v>33592.910499999998</v>
      </c>
      <c r="R852" s="669" t="s">
        <v>1104</v>
      </c>
    </row>
    <row r="853" spans="2:18" ht="65.099999999999994" customHeight="1" x14ac:dyDescent="0.25">
      <c r="B853" s="688">
        <v>44622</v>
      </c>
      <c r="C853" s="688" t="s">
        <v>2351</v>
      </c>
      <c r="D853" s="651" t="s">
        <v>1730</v>
      </c>
      <c r="E853" s="651" t="s">
        <v>1755</v>
      </c>
      <c r="F853" s="652" t="s">
        <v>1746</v>
      </c>
      <c r="G853" s="651" t="s">
        <v>1756</v>
      </c>
      <c r="H853" s="651" t="s">
        <v>1757</v>
      </c>
      <c r="I853" s="679" t="s">
        <v>19</v>
      </c>
      <c r="J853" s="684">
        <v>54474.99</v>
      </c>
      <c r="K853" s="684">
        <v>54.523000000000003</v>
      </c>
      <c r="L853" s="655">
        <f t="shared" si="88"/>
        <v>999.11945417530205</v>
      </c>
      <c r="M853" s="628">
        <v>60</v>
      </c>
      <c r="N853" s="667">
        <f t="shared" si="89"/>
        <v>907.91649999999993</v>
      </c>
      <c r="O853" s="668">
        <f t="shared" ca="1" si="86"/>
        <v>23</v>
      </c>
      <c r="P853" s="655">
        <f t="shared" ca="1" si="87"/>
        <v>33592.910499999998</v>
      </c>
      <c r="Q853" s="667">
        <f t="shared" ca="1" si="85"/>
        <v>33592.910499999998</v>
      </c>
      <c r="R853" s="669" t="s">
        <v>1104</v>
      </c>
    </row>
    <row r="854" spans="2:18" s="395" customFormat="1" ht="37.5" customHeight="1" x14ac:dyDescent="0.25">
      <c r="B854" s="688">
        <v>44631</v>
      </c>
      <c r="C854" s="688" t="s">
        <v>2351</v>
      </c>
      <c r="D854" s="651" t="s">
        <v>1730</v>
      </c>
      <c r="E854" s="651" t="s">
        <v>1758</v>
      </c>
      <c r="F854" s="652" t="s">
        <v>1759</v>
      </c>
      <c r="G854" s="651" t="s">
        <v>1760</v>
      </c>
      <c r="H854" s="651" t="s">
        <v>1761</v>
      </c>
      <c r="I854" s="679" t="s">
        <v>19</v>
      </c>
      <c r="J854" s="684">
        <v>179520.99</v>
      </c>
      <c r="K854" s="684">
        <v>54.523000000000003</v>
      </c>
      <c r="L854" s="655">
        <f t="shared" si="88"/>
        <v>3292.5735927957007</v>
      </c>
      <c r="M854" s="628">
        <v>60</v>
      </c>
      <c r="N854" s="667">
        <f t="shared" si="89"/>
        <v>2992.0164999999997</v>
      </c>
      <c r="O854" s="668">
        <f t="shared" ca="1" si="86"/>
        <v>22</v>
      </c>
      <c r="P854" s="655">
        <f t="shared" ca="1" si="87"/>
        <v>113696.62699999999</v>
      </c>
      <c r="Q854" s="667">
        <f t="shared" ca="1" si="85"/>
        <v>113696.62699999999</v>
      </c>
      <c r="R854" s="669" t="s">
        <v>1104</v>
      </c>
    </row>
    <row r="855" spans="2:18" s="395" customFormat="1" ht="35.1" customHeight="1" x14ac:dyDescent="0.25">
      <c r="B855" s="688">
        <v>44631</v>
      </c>
      <c r="C855" s="688" t="s">
        <v>2351</v>
      </c>
      <c r="D855" s="651" t="s">
        <v>1730</v>
      </c>
      <c r="E855" s="651" t="s">
        <v>1762</v>
      </c>
      <c r="F855" s="652" t="s">
        <v>1759</v>
      </c>
      <c r="G855" s="651" t="s">
        <v>1763</v>
      </c>
      <c r="H855" s="651" t="s">
        <v>1764</v>
      </c>
      <c r="I855" s="679" t="s">
        <v>19</v>
      </c>
      <c r="J855" s="684">
        <v>179520.99</v>
      </c>
      <c r="K855" s="684">
        <v>54.523000000000003</v>
      </c>
      <c r="L855" s="655">
        <f t="shared" si="88"/>
        <v>3292.5735927957007</v>
      </c>
      <c r="M855" s="628">
        <v>60</v>
      </c>
      <c r="N855" s="667">
        <f t="shared" si="89"/>
        <v>2992.0164999999997</v>
      </c>
      <c r="O855" s="668">
        <f t="shared" ca="1" si="86"/>
        <v>22</v>
      </c>
      <c r="P855" s="655">
        <f t="shared" ca="1" si="87"/>
        <v>113696.62699999999</v>
      </c>
      <c r="Q855" s="667">
        <f t="shared" ca="1" si="85"/>
        <v>113696.62699999999</v>
      </c>
      <c r="R855" s="669" t="s">
        <v>1104</v>
      </c>
    </row>
    <row r="856" spans="2:18" ht="35.1" customHeight="1" x14ac:dyDescent="0.25">
      <c r="B856" s="688">
        <v>44631</v>
      </c>
      <c r="C856" s="688" t="s">
        <v>2351</v>
      </c>
      <c r="D856" s="651" t="s">
        <v>1765</v>
      </c>
      <c r="E856" s="651" t="s">
        <v>1766</v>
      </c>
      <c r="F856" s="652" t="s">
        <v>1759</v>
      </c>
      <c r="G856" s="651" t="s">
        <v>1767</v>
      </c>
      <c r="H856" s="651" t="s">
        <v>1768</v>
      </c>
      <c r="I856" s="679" t="s">
        <v>19</v>
      </c>
      <c r="J856" s="684">
        <v>179520.99</v>
      </c>
      <c r="K856" s="684">
        <v>54.770299999999999</v>
      </c>
      <c r="L856" s="655">
        <f t="shared" si="88"/>
        <v>3277.7068958906561</v>
      </c>
      <c r="M856" s="628">
        <v>60</v>
      </c>
      <c r="N856" s="667">
        <f t="shared" si="89"/>
        <v>2992.0164999999997</v>
      </c>
      <c r="O856" s="668">
        <f t="shared" ca="1" si="86"/>
        <v>22</v>
      </c>
      <c r="P856" s="655">
        <f t="shared" ca="1" si="87"/>
        <v>113696.62699999999</v>
      </c>
      <c r="Q856" s="667">
        <f t="shared" ca="1" si="85"/>
        <v>113696.62699999999</v>
      </c>
      <c r="R856" s="669" t="s">
        <v>1769</v>
      </c>
    </row>
    <row r="857" spans="2:18" ht="35.1" customHeight="1" x14ac:dyDescent="0.25">
      <c r="B857" s="688">
        <v>44631</v>
      </c>
      <c r="C857" s="688" t="s">
        <v>2351</v>
      </c>
      <c r="D857" s="651" t="s">
        <v>1765</v>
      </c>
      <c r="E857" s="651" t="s">
        <v>1770</v>
      </c>
      <c r="F857" s="652" t="s">
        <v>1759</v>
      </c>
      <c r="G857" s="651" t="s">
        <v>1771</v>
      </c>
      <c r="H857" s="651" t="s">
        <v>1772</v>
      </c>
      <c r="I857" s="679" t="s">
        <v>19</v>
      </c>
      <c r="J857" s="684">
        <v>179520.99</v>
      </c>
      <c r="K857" s="684">
        <v>54.770299999999999</v>
      </c>
      <c r="L857" s="655">
        <f t="shared" si="88"/>
        <v>3277.7068958906561</v>
      </c>
      <c r="M857" s="628">
        <v>60</v>
      </c>
      <c r="N857" s="667">
        <f t="shared" si="89"/>
        <v>2992.0164999999997</v>
      </c>
      <c r="O857" s="668">
        <f t="shared" ca="1" si="86"/>
        <v>22</v>
      </c>
      <c r="P857" s="655">
        <f t="shared" ca="1" si="87"/>
        <v>113696.62699999999</v>
      </c>
      <c r="Q857" s="667">
        <f t="shared" ca="1" si="85"/>
        <v>113696.62699999999</v>
      </c>
      <c r="R857" s="669" t="s">
        <v>1769</v>
      </c>
    </row>
    <row r="858" spans="2:18" ht="35.1" customHeight="1" x14ac:dyDescent="0.25">
      <c r="B858" s="688">
        <v>44631</v>
      </c>
      <c r="C858" s="688" t="s">
        <v>2351</v>
      </c>
      <c r="D858" s="651" t="s">
        <v>1765</v>
      </c>
      <c r="E858" s="651" t="s">
        <v>1773</v>
      </c>
      <c r="F858" s="652" t="s">
        <v>1759</v>
      </c>
      <c r="G858" s="651" t="s">
        <v>1774</v>
      </c>
      <c r="H858" s="651" t="s">
        <v>1775</v>
      </c>
      <c r="I858" s="679" t="s">
        <v>19</v>
      </c>
      <c r="J858" s="684">
        <v>179520.99</v>
      </c>
      <c r="K858" s="684">
        <v>54.770299999999999</v>
      </c>
      <c r="L858" s="655">
        <f t="shared" si="88"/>
        <v>3277.7068958906561</v>
      </c>
      <c r="M858" s="628">
        <v>60</v>
      </c>
      <c r="N858" s="667">
        <f t="shared" si="89"/>
        <v>2992.0164999999997</v>
      </c>
      <c r="O858" s="668">
        <f t="shared" ca="1" si="86"/>
        <v>22</v>
      </c>
      <c r="P858" s="655">
        <f t="shared" ca="1" si="87"/>
        <v>113696.62699999999</v>
      </c>
      <c r="Q858" s="667">
        <f t="shared" ca="1" si="85"/>
        <v>113696.62699999999</v>
      </c>
      <c r="R858" s="669" t="s">
        <v>1769</v>
      </c>
    </row>
    <row r="859" spans="2:18" s="395" customFormat="1" ht="35.1" customHeight="1" x14ac:dyDescent="0.25">
      <c r="B859" s="688">
        <v>44631</v>
      </c>
      <c r="C859" s="688" t="s">
        <v>2351</v>
      </c>
      <c r="D859" s="651" t="s">
        <v>1765</v>
      </c>
      <c r="E859" s="651" t="s">
        <v>1776</v>
      </c>
      <c r="F859" s="652" t="s">
        <v>1759</v>
      </c>
      <c r="G859" s="651" t="s">
        <v>1777</v>
      </c>
      <c r="H859" s="651" t="s">
        <v>1778</v>
      </c>
      <c r="I859" s="679" t="s">
        <v>19</v>
      </c>
      <c r="J859" s="684">
        <v>179520.99</v>
      </c>
      <c r="K859" s="684">
        <v>54.770299999999999</v>
      </c>
      <c r="L859" s="655">
        <f t="shared" si="88"/>
        <v>3277.7068958906561</v>
      </c>
      <c r="M859" s="628">
        <v>60</v>
      </c>
      <c r="N859" s="667">
        <f t="shared" si="89"/>
        <v>2992.0164999999997</v>
      </c>
      <c r="O859" s="668">
        <f t="shared" ca="1" si="86"/>
        <v>22</v>
      </c>
      <c r="P859" s="655">
        <f t="shared" ca="1" si="87"/>
        <v>113696.62699999999</v>
      </c>
      <c r="Q859" s="667">
        <f t="shared" ca="1" si="85"/>
        <v>113696.62699999999</v>
      </c>
      <c r="R859" s="669" t="s">
        <v>1769</v>
      </c>
    </row>
    <row r="860" spans="2:18" ht="35.1" customHeight="1" x14ac:dyDescent="0.25">
      <c r="B860" s="688">
        <v>44631</v>
      </c>
      <c r="C860" s="688" t="s">
        <v>2351</v>
      </c>
      <c r="D860" s="651" t="s">
        <v>1765</v>
      </c>
      <c r="E860" s="651" t="s">
        <v>1779</v>
      </c>
      <c r="F860" s="652" t="s">
        <v>1759</v>
      </c>
      <c r="G860" s="651" t="s">
        <v>1780</v>
      </c>
      <c r="H860" s="651" t="s">
        <v>1781</v>
      </c>
      <c r="I860" s="679" t="s">
        <v>19</v>
      </c>
      <c r="J860" s="684">
        <v>179520.99</v>
      </c>
      <c r="K860" s="684">
        <v>54.770299999999999</v>
      </c>
      <c r="L860" s="655">
        <f t="shared" si="88"/>
        <v>3277.7068958906561</v>
      </c>
      <c r="M860" s="628">
        <v>60</v>
      </c>
      <c r="N860" s="667">
        <f t="shared" si="89"/>
        <v>2992.0164999999997</v>
      </c>
      <c r="O860" s="668">
        <f t="shared" ca="1" si="86"/>
        <v>22</v>
      </c>
      <c r="P860" s="655">
        <f t="shared" ca="1" si="87"/>
        <v>113696.62699999999</v>
      </c>
      <c r="Q860" s="667">
        <f t="shared" ca="1" si="85"/>
        <v>113696.62699999999</v>
      </c>
      <c r="R860" s="669" t="s">
        <v>1769</v>
      </c>
    </row>
    <row r="861" spans="2:18" ht="38.25" customHeight="1" x14ac:dyDescent="0.25">
      <c r="B861" s="688">
        <v>44631</v>
      </c>
      <c r="C861" s="688" t="s">
        <v>2351</v>
      </c>
      <c r="D861" s="651" t="s">
        <v>1765</v>
      </c>
      <c r="E861" s="651" t="s">
        <v>1782</v>
      </c>
      <c r="F861" s="652" t="s">
        <v>1759</v>
      </c>
      <c r="G861" s="651" t="s">
        <v>1783</v>
      </c>
      <c r="H861" s="651" t="s">
        <v>1784</v>
      </c>
      <c r="I861" s="679" t="s">
        <v>19</v>
      </c>
      <c r="J861" s="684">
        <v>179520.99</v>
      </c>
      <c r="K861" s="684">
        <v>54.770299999999999</v>
      </c>
      <c r="L861" s="655">
        <f t="shared" si="88"/>
        <v>3277.7068958906561</v>
      </c>
      <c r="M861" s="628">
        <v>60</v>
      </c>
      <c r="N861" s="667">
        <f t="shared" si="89"/>
        <v>2992.0164999999997</v>
      </c>
      <c r="O861" s="668">
        <f t="shared" ca="1" si="86"/>
        <v>22</v>
      </c>
      <c r="P861" s="655">
        <f t="shared" ca="1" si="87"/>
        <v>113696.62699999999</v>
      </c>
      <c r="Q861" s="667">
        <f t="shared" ca="1" si="85"/>
        <v>113696.62699999999</v>
      </c>
      <c r="R861" s="669" t="s">
        <v>1769</v>
      </c>
    </row>
    <row r="862" spans="2:18" ht="35.1" customHeight="1" x14ac:dyDescent="0.25">
      <c r="B862" s="688">
        <v>44631</v>
      </c>
      <c r="C862" s="688" t="s">
        <v>2351</v>
      </c>
      <c r="D862" s="651" t="s">
        <v>1765</v>
      </c>
      <c r="E862" s="651" t="s">
        <v>1785</v>
      </c>
      <c r="F862" s="652" t="s">
        <v>1759</v>
      </c>
      <c r="G862" s="651" t="s">
        <v>1786</v>
      </c>
      <c r="H862" s="651" t="s">
        <v>1787</v>
      </c>
      <c r="I862" s="679" t="s">
        <v>19</v>
      </c>
      <c r="J862" s="684">
        <v>179520.99</v>
      </c>
      <c r="K862" s="684">
        <v>54.770299999999999</v>
      </c>
      <c r="L862" s="655">
        <f t="shared" si="88"/>
        <v>3277.7068958906561</v>
      </c>
      <c r="M862" s="628">
        <v>60</v>
      </c>
      <c r="N862" s="667">
        <f t="shared" si="89"/>
        <v>2992.0164999999997</v>
      </c>
      <c r="O862" s="668">
        <f t="shared" ca="1" si="86"/>
        <v>22</v>
      </c>
      <c r="P862" s="655">
        <f t="shared" ca="1" si="87"/>
        <v>113696.62699999999</v>
      </c>
      <c r="Q862" s="667">
        <f t="shared" ca="1" si="85"/>
        <v>113696.62699999999</v>
      </c>
      <c r="R862" s="669" t="s">
        <v>1769</v>
      </c>
    </row>
    <row r="863" spans="2:18" ht="35.1" customHeight="1" x14ac:dyDescent="0.25">
      <c r="B863" s="688">
        <v>44631</v>
      </c>
      <c r="C863" s="688" t="s">
        <v>2351</v>
      </c>
      <c r="D863" s="651" t="s">
        <v>1765</v>
      </c>
      <c r="E863" s="651" t="s">
        <v>1788</v>
      </c>
      <c r="F863" s="652" t="s">
        <v>1759</v>
      </c>
      <c r="G863" s="651" t="s">
        <v>1789</v>
      </c>
      <c r="H863" s="651" t="s">
        <v>1790</v>
      </c>
      <c r="I863" s="679" t="s">
        <v>19</v>
      </c>
      <c r="J863" s="684">
        <v>179520.99</v>
      </c>
      <c r="K863" s="684">
        <v>54.770299999999999</v>
      </c>
      <c r="L863" s="655">
        <f t="shared" si="88"/>
        <v>3277.7068958906561</v>
      </c>
      <c r="M863" s="628">
        <v>60</v>
      </c>
      <c r="N863" s="667">
        <f t="shared" si="89"/>
        <v>2992.0164999999997</v>
      </c>
      <c r="O863" s="668">
        <f t="shared" ca="1" si="86"/>
        <v>22</v>
      </c>
      <c r="P863" s="655">
        <f t="shared" ca="1" si="87"/>
        <v>113696.62699999999</v>
      </c>
      <c r="Q863" s="667">
        <f t="shared" ca="1" si="85"/>
        <v>113696.62699999999</v>
      </c>
      <c r="R863" s="669" t="s">
        <v>1769</v>
      </c>
    </row>
    <row r="864" spans="2:18" ht="48.75" customHeight="1" x14ac:dyDescent="0.25">
      <c r="B864" s="688">
        <v>44631</v>
      </c>
      <c r="C864" s="688" t="s">
        <v>2351</v>
      </c>
      <c r="D864" s="651" t="s">
        <v>1765</v>
      </c>
      <c r="E864" s="651" t="s">
        <v>1791</v>
      </c>
      <c r="F864" s="652" t="s">
        <v>1759</v>
      </c>
      <c r="G864" s="651" t="s">
        <v>1792</v>
      </c>
      <c r="H864" s="651" t="s">
        <v>1793</v>
      </c>
      <c r="I864" s="679" t="s">
        <v>19</v>
      </c>
      <c r="J864" s="684">
        <v>179520.99</v>
      </c>
      <c r="K864" s="684">
        <v>54.770299999999999</v>
      </c>
      <c r="L864" s="655">
        <f t="shared" si="88"/>
        <v>3277.7068958906561</v>
      </c>
      <c r="M864" s="628">
        <v>60</v>
      </c>
      <c r="N864" s="667">
        <f t="shared" si="89"/>
        <v>2992.0164999999997</v>
      </c>
      <c r="O864" s="668">
        <f t="shared" ca="1" si="86"/>
        <v>22</v>
      </c>
      <c r="P864" s="655">
        <f t="shared" ca="1" si="87"/>
        <v>113696.62699999999</v>
      </c>
      <c r="Q864" s="667">
        <f t="shared" ca="1" si="85"/>
        <v>113696.62699999999</v>
      </c>
      <c r="R864" s="669" t="s">
        <v>1769</v>
      </c>
    </row>
    <row r="865" spans="2:18" s="395" customFormat="1" ht="60" customHeight="1" x14ac:dyDescent="0.25">
      <c r="B865" s="688">
        <v>44812</v>
      </c>
      <c r="C865" s="688" t="s">
        <v>2351</v>
      </c>
      <c r="D865" s="651" t="s">
        <v>1794</v>
      </c>
      <c r="E865" s="651" t="s">
        <v>1795</v>
      </c>
      <c r="F865" s="652" t="s">
        <v>1796</v>
      </c>
      <c r="G865" s="651" t="s">
        <v>1797</v>
      </c>
      <c r="H865" s="651" t="s">
        <v>1381</v>
      </c>
      <c r="I865" s="615" t="s">
        <v>4496</v>
      </c>
      <c r="J865" s="684">
        <v>66039.88</v>
      </c>
      <c r="K865" s="684">
        <v>53.015799999999999</v>
      </c>
      <c r="L865" s="655">
        <f t="shared" si="88"/>
        <v>1245.6641227709476</v>
      </c>
      <c r="M865" s="628">
        <v>60</v>
      </c>
      <c r="N865" s="667">
        <f t="shared" si="89"/>
        <v>1100.6646666666668</v>
      </c>
      <c r="O865" s="668">
        <f t="shared" ca="1" si="86"/>
        <v>16</v>
      </c>
      <c r="P865" s="655">
        <f t="shared" ca="1" si="87"/>
        <v>48429.24533333334</v>
      </c>
      <c r="Q865" s="667">
        <f t="shared" ca="1" si="85"/>
        <v>48429.24533333334</v>
      </c>
      <c r="R865" s="669" t="s">
        <v>1769</v>
      </c>
    </row>
    <row r="866" spans="2:18" s="395" customFormat="1" ht="60" customHeight="1" x14ac:dyDescent="0.25">
      <c r="B866" s="688">
        <v>44812</v>
      </c>
      <c r="C866" s="688" t="s">
        <v>2351</v>
      </c>
      <c r="D866" s="651" t="s">
        <v>1794</v>
      </c>
      <c r="E866" s="651" t="s">
        <v>1799</v>
      </c>
      <c r="F866" s="652" t="s">
        <v>1800</v>
      </c>
      <c r="G866" s="651" t="s">
        <v>1801</v>
      </c>
      <c r="H866" s="673" t="s">
        <v>1345</v>
      </c>
      <c r="I866" s="673" t="s">
        <v>4435</v>
      </c>
      <c r="J866" s="684">
        <v>66039.88</v>
      </c>
      <c r="K866" s="684">
        <v>53.015799999999999</v>
      </c>
      <c r="L866" s="655">
        <f t="shared" si="88"/>
        <v>1245.6641227709476</v>
      </c>
      <c r="M866" s="628">
        <v>60</v>
      </c>
      <c r="N866" s="667">
        <f t="shared" si="89"/>
        <v>1100.6646666666668</v>
      </c>
      <c r="O866" s="668">
        <f ca="1">IF(B866&lt;&gt;0,(ROUND((NOW()-B866)/30,0)),0)</f>
        <v>16</v>
      </c>
      <c r="P866" s="655">
        <f t="shared" ca="1" si="87"/>
        <v>48429.24533333334</v>
      </c>
      <c r="Q866" s="667">
        <f t="shared" ca="1" si="85"/>
        <v>48429.24533333334</v>
      </c>
      <c r="R866" s="669" t="s">
        <v>1769</v>
      </c>
    </row>
    <row r="867" spans="2:18" s="395" customFormat="1" ht="69" customHeight="1" x14ac:dyDescent="0.25">
      <c r="B867" s="688">
        <v>44812</v>
      </c>
      <c r="C867" s="688" t="s">
        <v>2351</v>
      </c>
      <c r="D867" s="651" t="s">
        <v>1794</v>
      </c>
      <c r="E867" s="651" t="s">
        <v>1802</v>
      </c>
      <c r="F867" s="652" t="s">
        <v>1800</v>
      </c>
      <c r="G867" s="651" t="s">
        <v>1803</v>
      </c>
      <c r="H867" s="615" t="s">
        <v>1345</v>
      </c>
      <c r="I867" s="615" t="s">
        <v>4497</v>
      </c>
      <c r="J867" s="684">
        <v>66039.88</v>
      </c>
      <c r="K867" s="684">
        <v>53.015799999999999</v>
      </c>
      <c r="L867" s="655">
        <f t="shared" si="88"/>
        <v>1245.6641227709476</v>
      </c>
      <c r="M867" s="628">
        <v>60</v>
      </c>
      <c r="N867" s="667">
        <f t="shared" si="89"/>
        <v>1100.6646666666668</v>
      </c>
      <c r="O867" s="668">
        <f t="shared" ca="1" si="86"/>
        <v>16</v>
      </c>
      <c r="P867" s="655">
        <f t="shared" ca="1" si="87"/>
        <v>48429.24533333334</v>
      </c>
      <c r="Q867" s="667">
        <f t="shared" ca="1" si="85"/>
        <v>48429.24533333334</v>
      </c>
      <c r="R867" s="669" t="s">
        <v>1769</v>
      </c>
    </row>
    <row r="868" spans="2:18" s="395" customFormat="1" ht="60" customHeight="1" x14ac:dyDescent="0.25">
      <c r="B868" s="688">
        <v>44812</v>
      </c>
      <c r="C868" s="688" t="s">
        <v>2351</v>
      </c>
      <c r="D868" s="651" t="s">
        <v>1794</v>
      </c>
      <c r="E868" s="651" t="s">
        <v>1804</v>
      </c>
      <c r="F868" s="652" t="s">
        <v>1800</v>
      </c>
      <c r="G868" s="651" t="s">
        <v>1805</v>
      </c>
      <c r="H868" s="615" t="s">
        <v>4498</v>
      </c>
      <c r="I868" s="615" t="s">
        <v>4499</v>
      </c>
      <c r="J868" s="684">
        <v>66039.88</v>
      </c>
      <c r="K868" s="684">
        <v>53.015799999999999</v>
      </c>
      <c r="L868" s="655">
        <f t="shared" si="88"/>
        <v>1245.6641227709476</v>
      </c>
      <c r="M868" s="628">
        <v>60</v>
      </c>
      <c r="N868" s="667">
        <f t="shared" si="89"/>
        <v>1100.6646666666668</v>
      </c>
      <c r="O868" s="668">
        <f t="shared" ca="1" si="86"/>
        <v>16</v>
      </c>
      <c r="P868" s="655">
        <f t="shared" ca="1" si="87"/>
        <v>48429.24533333334</v>
      </c>
      <c r="Q868" s="667">
        <f t="shared" ca="1" si="85"/>
        <v>48429.24533333334</v>
      </c>
      <c r="R868" s="669" t="s">
        <v>1769</v>
      </c>
    </row>
    <row r="869" spans="2:18" s="395" customFormat="1" ht="60" customHeight="1" x14ac:dyDescent="0.25">
      <c r="B869" s="688">
        <v>44812</v>
      </c>
      <c r="C869" s="688" t="s">
        <v>2351</v>
      </c>
      <c r="D869" s="651" t="s">
        <v>1794</v>
      </c>
      <c r="E869" s="651" t="s">
        <v>1806</v>
      </c>
      <c r="F869" s="652" t="s">
        <v>1800</v>
      </c>
      <c r="G869" s="651" t="s">
        <v>1807</v>
      </c>
      <c r="H869" s="616" t="s">
        <v>4404</v>
      </c>
      <c r="I869" s="615" t="s">
        <v>4500</v>
      </c>
      <c r="J869" s="684">
        <v>66039.88</v>
      </c>
      <c r="K869" s="684">
        <v>53.015799999999999</v>
      </c>
      <c r="L869" s="655">
        <f t="shared" si="88"/>
        <v>1245.6641227709476</v>
      </c>
      <c r="M869" s="628">
        <v>60</v>
      </c>
      <c r="N869" s="667">
        <f t="shared" si="89"/>
        <v>1100.6646666666668</v>
      </c>
      <c r="O869" s="668">
        <f t="shared" ca="1" si="86"/>
        <v>16</v>
      </c>
      <c r="P869" s="655">
        <f t="shared" ca="1" si="87"/>
        <v>48429.24533333334</v>
      </c>
      <c r="Q869" s="667">
        <f t="shared" ca="1" si="85"/>
        <v>48429.24533333334</v>
      </c>
      <c r="R869" s="669" t="s">
        <v>1769</v>
      </c>
    </row>
    <row r="870" spans="2:18" s="395" customFormat="1" ht="60" customHeight="1" x14ac:dyDescent="0.25">
      <c r="B870" s="688">
        <v>44812</v>
      </c>
      <c r="C870" s="688" t="s">
        <v>2351</v>
      </c>
      <c r="D870" s="651" t="s">
        <v>1794</v>
      </c>
      <c r="E870" s="651" t="s">
        <v>1808</v>
      </c>
      <c r="F870" s="652" t="s">
        <v>1800</v>
      </c>
      <c r="G870" s="651" t="s">
        <v>1809</v>
      </c>
      <c r="H870" s="616" t="s">
        <v>1345</v>
      </c>
      <c r="I870" s="615" t="s">
        <v>4497</v>
      </c>
      <c r="J870" s="684">
        <v>66039.88</v>
      </c>
      <c r="K870" s="684">
        <v>53.015799999999999</v>
      </c>
      <c r="L870" s="655">
        <f t="shared" si="88"/>
        <v>1245.6641227709476</v>
      </c>
      <c r="M870" s="628">
        <v>60</v>
      </c>
      <c r="N870" s="667">
        <f t="shared" si="89"/>
        <v>1100.6646666666668</v>
      </c>
      <c r="O870" s="668">
        <f t="shared" ca="1" si="86"/>
        <v>16</v>
      </c>
      <c r="P870" s="655">
        <f t="shared" ca="1" si="87"/>
        <v>48429.24533333334</v>
      </c>
      <c r="Q870" s="667">
        <f t="shared" ca="1" si="85"/>
        <v>48429.24533333334</v>
      </c>
      <c r="R870" s="669" t="s">
        <v>1769</v>
      </c>
    </row>
    <row r="871" spans="2:18" s="395" customFormat="1" ht="60" customHeight="1" x14ac:dyDescent="0.25">
      <c r="B871" s="688">
        <v>44812</v>
      </c>
      <c r="C871" s="688" t="s">
        <v>2351</v>
      </c>
      <c r="D871" s="651" t="s">
        <v>1794</v>
      </c>
      <c r="E871" s="651" t="s">
        <v>1810</v>
      </c>
      <c r="F871" s="652" t="s">
        <v>1800</v>
      </c>
      <c r="G871" s="651" t="s">
        <v>1811</v>
      </c>
      <c r="H871" s="616" t="s">
        <v>4436</v>
      </c>
      <c r="I871" s="615" t="s">
        <v>4499</v>
      </c>
      <c r="J871" s="684">
        <v>66039.88</v>
      </c>
      <c r="K871" s="684">
        <v>53.015799999999999</v>
      </c>
      <c r="L871" s="655">
        <f t="shared" si="88"/>
        <v>1245.6641227709476</v>
      </c>
      <c r="M871" s="628">
        <v>60</v>
      </c>
      <c r="N871" s="667">
        <f t="shared" si="89"/>
        <v>1100.6646666666668</v>
      </c>
      <c r="O871" s="668">
        <f t="shared" ca="1" si="86"/>
        <v>16</v>
      </c>
      <c r="P871" s="655">
        <f t="shared" ca="1" si="87"/>
        <v>48429.24533333334</v>
      </c>
      <c r="Q871" s="667">
        <f t="shared" ca="1" si="85"/>
        <v>48429.24533333334</v>
      </c>
      <c r="R871" s="669" t="s">
        <v>1769</v>
      </c>
    </row>
    <row r="872" spans="2:18" s="395" customFormat="1" ht="60" customHeight="1" x14ac:dyDescent="0.25">
      <c r="B872" s="688">
        <v>44812</v>
      </c>
      <c r="C872" s="688" t="s">
        <v>2351</v>
      </c>
      <c r="D872" s="651" t="s">
        <v>1794</v>
      </c>
      <c r="E872" s="651" t="s">
        <v>1812</v>
      </c>
      <c r="F872" s="652" t="s">
        <v>1800</v>
      </c>
      <c r="G872" s="651" t="s">
        <v>1813</v>
      </c>
      <c r="H872" s="616" t="s">
        <v>45</v>
      </c>
      <c r="I872" s="615" t="s">
        <v>4500</v>
      </c>
      <c r="J872" s="684">
        <v>66039.88</v>
      </c>
      <c r="K872" s="684">
        <v>53.015799999999999</v>
      </c>
      <c r="L872" s="655">
        <f t="shared" si="88"/>
        <v>1245.6641227709476</v>
      </c>
      <c r="M872" s="628">
        <v>60</v>
      </c>
      <c r="N872" s="667">
        <f t="shared" si="89"/>
        <v>1100.6646666666668</v>
      </c>
      <c r="O872" s="668">
        <f t="shared" ca="1" si="86"/>
        <v>16</v>
      </c>
      <c r="P872" s="655">
        <f t="shared" ca="1" si="87"/>
        <v>48429.24533333334</v>
      </c>
      <c r="Q872" s="667">
        <f t="shared" ca="1" si="85"/>
        <v>48429.24533333334</v>
      </c>
      <c r="R872" s="669" t="s">
        <v>1769</v>
      </c>
    </row>
    <row r="873" spans="2:18" s="395" customFormat="1" ht="60" customHeight="1" x14ac:dyDescent="0.25">
      <c r="B873" s="688">
        <v>44812</v>
      </c>
      <c r="C873" s="688" t="s">
        <v>2351</v>
      </c>
      <c r="D873" s="651" t="s">
        <v>1794</v>
      </c>
      <c r="E873" s="651" t="s">
        <v>1814</v>
      </c>
      <c r="F873" s="652" t="s">
        <v>1800</v>
      </c>
      <c r="G873" s="651" t="s">
        <v>1815</v>
      </c>
      <c r="H873" s="616" t="s">
        <v>4436</v>
      </c>
      <c r="I873" s="615" t="s">
        <v>4499</v>
      </c>
      <c r="J873" s="684">
        <v>66039.88</v>
      </c>
      <c r="K873" s="684">
        <v>53.015799999999999</v>
      </c>
      <c r="L873" s="655">
        <f t="shared" si="88"/>
        <v>1245.6641227709476</v>
      </c>
      <c r="M873" s="628">
        <v>60</v>
      </c>
      <c r="N873" s="667">
        <f t="shared" si="89"/>
        <v>1100.6646666666668</v>
      </c>
      <c r="O873" s="668">
        <f t="shared" ca="1" si="86"/>
        <v>16</v>
      </c>
      <c r="P873" s="655">
        <f t="shared" ca="1" si="87"/>
        <v>48429.24533333334</v>
      </c>
      <c r="Q873" s="667">
        <f t="shared" ca="1" si="85"/>
        <v>48429.24533333334</v>
      </c>
      <c r="R873" s="669" t="s">
        <v>1769</v>
      </c>
    </row>
    <row r="874" spans="2:18" s="395" customFormat="1" ht="60" customHeight="1" x14ac:dyDescent="0.25">
      <c r="B874" s="688">
        <v>44812</v>
      </c>
      <c r="C874" s="688" t="s">
        <v>2351</v>
      </c>
      <c r="D874" s="651" t="s">
        <v>1794</v>
      </c>
      <c r="E874" s="651" t="s">
        <v>1816</v>
      </c>
      <c r="F874" s="652" t="s">
        <v>1800</v>
      </c>
      <c r="G874" s="651" t="s">
        <v>1817</v>
      </c>
      <c r="H874" s="616" t="s">
        <v>4443</v>
      </c>
      <c r="I874" s="615" t="s">
        <v>4501</v>
      </c>
      <c r="J874" s="684">
        <v>66039.88</v>
      </c>
      <c r="K874" s="684">
        <v>53.015799999999999</v>
      </c>
      <c r="L874" s="655">
        <f t="shared" si="88"/>
        <v>1245.6641227709476</v>
      </c>
      <c r="M874" s="628">
        <v>60</v>
      </c>
      <c r="N874" s="667">
        <f t="shared" si="89"/>
        <v>1100.6646666666668</v>
      </c>
      <c r="O874" s="668">
        <f t="shared" ca="1" si="86"/>
        <v>16</v>
      </c>
      <c r="P874" s="655">
        <f t="shared" ca="1" si="87"/>
        <v>48429.24533333334</v>
      </c>
      <c r="Q874" s="667">
        <f t="shared" ca="1" si="85"/>
        <v>48429.24533333334</v>
      </c>
      <c r="R874" s="669" t="s">
        <v>1769</v>
      </c>
    </row>
    <row r="875" spans="2:18" s="395" customFormat="1" ht="60" customHeight="1" x14ac:dyDescent="0.25">
      <c r="B875" s="688">
        <v>44812</v>
      </c>
      <c r="C875" s="688" t="s">
        <v>2351</v>
      </c>
      <c r="D875" s="651" t="s">
        <v>1794</v>
      </c>
      <c r="E875" s="651" t="s">
        <v>1818</v>
      </c>
      <c r="F875" s="652" t="s">
        <v>1800</v>
      </c>
      <c r="G875" s="651" t="s">
        <v>1819</v>
      </c>
      <c r="H875" s="616" t="s">
        <v>1381</v>
      </c>
      <c r="I875" s="615" t="s">
        <v>4502</v>
      </c>
      <c r="J875" s="684">
        <v>66039.88</v>
      </c>
      <c r="K875" s="684">
        <v>53.015799999999999</v>
      </c>
      <c r="L875" s="655">
        <f t="shared" si="88"/>
        <v>1245.6641227709476</v>
      </c>
      <c r="M875" s="628">
        <v>60</v>
      </c>
      <c r="N875" s="667">
        <f t="shared" si="89"/>
        <v>1100.6646666666668</v>
      </c>
      <c r="O875" s="668">
        <f t="shared" ca="1" si="86"/>
        <v>16</v>
      </c>
      <c r="P875" s="655">
        <f t="shared" ca="1" si="87"/>
        <v>48429.24533333334</v>
      </c>
      <c r="Q875" s="667">
        <f t="shared" ca="1" si="85"/>
        <v>48429.24533333334</v>
      </c>
      <c r="R875" s="669" t="s">
        <v>1769</v>
      </c>
    </row>
    <row r="876" spans="2:18" s="395" customFormat="1" ht="60" customHeight="1" x14ac:dyDescent="0.25">
      <c r="B876" s="688">
        <v>44812</v>
      </c>
      <c r="C876" s="688" t="s">
        <v>2351</v>
      </c>
      <c r="D876" s="651" t="s">
        <v>1794</v>
      </c>
      <c r="E876" s="651" t="s">
        <v>1820</v>
      </c>
      <c r="F876" s="652" t="s">
        <v>1800</v>
      </c>
      <c r="G876" s="651" t="s">
        <v>1821</v>
      </c>
      <c r="H876" s="616" t="s">
        <v>4442</v>
      </c>
      <c r="I876" s="615" t="s">
        <v>4503</v>
      </c>
      <c r="J876" s="684">
        <v>66039.88</v>
      </c>
      <c r="K876" s="684">
        <v>53.015799999999999</v>
      </c>
      <c r="L876" s="655">
        <f t="shared" si="88"/>
        <v>1245.6641227709476</v>
      </c>
      <c r="M876" s="628">
        <v>60</v>
      </c>
      <c r="N876" s="667">
        <f t="shared" si="89"/>
        <v>1100.6646666666668</v>
      </c>
      <c r="O876" s="668">
        <f t="shared" ca="1" si="86"/>
        <v>16</v>
      </c>
      <c r="P876" s="655">
        <f t="shared" ca="1" si="87"/>
        <v>48429.24533333334</v>
      </c>
      <c r="Q876" s="667">
        <f t="shared" ca="1" si="85"/>
        <v>48429.24533333334</v>
      </c>
      <c r="R876" s="669" t="s">
        <v>1769</v>
      </c>
    </row>
    <row r="877" spans="2:18" s="395" customFormat="1" ht="60" customHeight="1" x14ac:dyDescent="0.25">
      <c r="B877" s="688">
        <v>44812</v>
      </c>
      <c r="C877" s="688" t="s">
        <v>2351</v>
      </c>
      <c r="D877" s="651" t="s">
        <v>1794</v>
      </c>
      <c r="E877" s="651" t="s">
        <v>1822</v>
      </c>
      <c r="F877" s="652" t="s">
        <v>1800</v>
      </c>
      <c r="G877" s="651" t="s">
        <v>1823</v>
      </c>
      <c r="H877" s="616" t="s">
        <v>4437</v>
      </c>
      <c r="I877" s="615" t="s">
        <v>4501</v>
      </c>
      <c r="J877" s="684">
        <v>66039.88</v>
      </c>
      <c r="K877" s="684">
        <v>53.015799999999999</v>
      </c>
      <c r="L877" s="655">
        <f t="shared" si="88"/>
        <v>1245.6641227709476</v>
      </c>
      <c r="M877" s="628">
        <v>60</v>
      </c>
      <c r="N877" s="667">
        <f t="shared" si="89"/>
        <v>1100.6646666666668</v>
      </c>
      <c r="O877" s="668">
        <f t="shared" ca="1" si="86"/>
        <v>16</v>
      </c>
      <c r="P877" s="655">
        <f t="shared" ca="1" si="87"/>
        <v>48429.24533333334</v>
      </c>
      <c r="Q877" s="667">
        <f t="shared" ca="1" si="85"/>
        <v>48429.24533333334</v>
      </c>
      <c r="R877" s="669" t="s">
        <v>1769</v>
      </c>
    </row>
    <row r="878" spans="2:18" s="395" customFormat="1" ht="60" customHeight="1" x14ac:dyDescent="0.25">
      <c r="B878" s="688">
        <v>44812</v>
      </c>
      <c r="C878" s="688" t="s">
        <v>2351</v>
      </c>
      <c r="D878" s="651" t="s">
        <v>1794</v>
      </c>
      <c r="E878" s="651" t="s">
        <v>1824</v>
      </c>
      <c r="F878" s="652" t="s">
        <v>1800</v>
      </c>
      <c r="G878" s="651" t="s">
        <v>1825</v>
      </c>
      <c r="H878" s="616" t="s">
        <v>1381</v>
      </c>
      <c r="I878" s="615" t="s">
        <v>4502</v>
      </c>
      <c r="J878" s="684">
        <v>66039.88</v>
      </c>
      <c r="K878" s="684">
        <v>53.015799999999999</v>
      </c>
      <c r="L878" s="655">
        <f t="shared" si="88"/>
        <v>1245.6641227709476</v>
      </c>
      <c r="M878" s="628">
        <v>60</v>
      </c>
      <c r="N878" s="667">
        <f t="shared" si="89"/>
        <v>1100.6646666666668</v>
      </c>
      <c r="O878" s="668">
        <f t="shared" ca="1" si="86"/>
        <v>16</v>
      </c>
      <c r="P878" s="655">
        <f t="shared" ca="1" si="87"/>
        <v>48429.24533333334</v>
      </c>
      <c r="Q878" s="667">
        <f t="shared" ca="1" si="85"/>
        <v>48429.24533333334</v>
      </c>
      <c r="R878" s="669" t="s">
        <v>1769</v>
      </c>
    </row>
    <row r="879" spans="2:18" s="395" customFormat="1" ht="60" customHeight="1" x14ac:dyDescent="0.25">
      <c r="B879" s="688">
        <v>44812</v>
      </c>
      <c r="C879" s="688" t="s">
        <v>2351</v>
      </c>
      <c r="D879" s="651" t="s">
        <v>1794</v>
      </c>
      <c r="E879" s="651" t="s">
        <v>1826</v>
      </c>
      <c r="F879" s="652" t="s">
        <v>1800</v>
      </c>
      <c r="G879" s="651" t="s">
        <v>1827</v>
      </c>
      <c r="H879" s="616" t="s">
        <v>1345</v>
      </c>
      <c r="I879" s="615" t="s">
        <v>4497</v>
      </c>
      <c r="J879" s="684">
        <v>66039.88</v>
      </c>
      <c r="K879" s="684">
        <v>53.015799999999999</v>
      </c>
      <c r="L879" s="655">
        <f t="shared" si="88"/>
        <v>1245.6641227709476</v>
      </c>
      <c r="M879" s="628">
        <v>60</v>
      </c>
      <c r="N879" s="667">
        <f t="shared" si="89"/>
        <v>1100.6646666666668</v>
      </c>
      <c r="O879" s="668">
        <f t="shared" ca="1" si="86"/>
        <v>16</v>
      </c>
      <c r="P879" s="655">
        <f t="shared" ca="1" si="87"/>
        <v>48429.24533333334</v>
      </c>
      <c r="Q879" s="667">
        <f t="shared" ca="1" si="85"/>
        <v>48429.24533333334</v>
      </c>
      <c r="R879" s="669" t="s">
        <v>1769</v>
      </c>
    </row>
    <row r="880" spans="2:18" s="395" customFormat="1" ht="60" customHeight="1" x14ac:dyDescent="0.25">
      <c r="B880" s="688">
        <v>44812</v>
      </c>
      <c r="C880" s="688" t="s">
        <v>2351</v>
      </c>
      <c r="D880" s="651" t="s">
        <v>1794</v>
      </c>
      <c r="E880" s="651" t="s">
        <v>1828</v>
      </c>
      <c r="F880" s="652" t="s">
        <v>1800</v>
      </c>
      <c r="G880" s="651" t="s">
        <v>1829</v>
      </c>
      <c r="H880" s="616" t="s">
        <v>1381</v>
      </c>
      <c r="I880" s="615" t="s">
        <v>4502</v>
      </c>
      <c r="J880" s="684">
        <v>66039.88</v>
      </c>
      <c r="K880" s="684">
        <v>53.015799999999999</v>
      </c>
      <c r="L880" s="655">
        <f t="shared" si="88"/>
        <v>1245.6641227709476</v>
      </c>
      <c r="M880" s="628">
        <v>60</v>
      </c>
      <c r="N880" s="667">
        <f t="shared" si="89"/>
        <v>1100.6646666666668</v>
      </c>
      <c r="O880" s="668">
        <f t="shared" ca="1" si="86"/>
        <v>16</v>
      </c>
      <c r="P880" s="655">
        <f t="shared" ca="1" si="87"/>
        <v>48429.24533333334</v>
      </c>
      <c r="Q880" s="667">
        <f t="shared" ca="1" si="85"/>
        <v>48429.24533333334</v>
      </c>
      <c r="R880" s="669" t="s">
        <v>1769</v>
      </c>
    </row>
    <row r="881" spans="2:18" s="395" customFormat="1" ht="60" customHeight="1" x14ac:dyDescent="0.25">
      <c r="B881" s="688">
        <v>44812</v>
      </c>
      <c r="C881" s="688" t="s">
        <v>2351</v>
      </c>
      <c r="D881" s="651" t="s">
        <v>1794</v>
      </c>
      <c r="E881" s="651" t="s">
        <v>1830</v>
      </c>
      <c r="F881" s="652" t="s">
        <v>1800</v>
      </c>
      <c r="G881" s="651" t="s">
        <v>1831</v>
      </c>
      <c r="H881" s="616" t="s">
        <v>4438</v>
      </c>
      <c r="I881" s="615" t="s">
        <v>4501</v>
      </c>
      <c r="J881" s="684">
        <v>66039.88</v>
      </c>
      <c r="K881" s="684">
        <v>53.015799999999999</v>
      </c>
      <c r="L881" s="655">
        <f t="shared" si="88"/>
        <v>1245.6641227709476</v>
      </c>
      <c r="M881" s="628">
        <v>60</v>
      </c>
      <c r="N881" s="667">
        <f t="shared" si="89"/>
        <v>1100.6646666666668</v>
      </c>
      <c r="O881" s="668">
        <f t="shared" ca="1" si="86"/>
        <v>16</v>
      </c>
      <c r="P881" s="655">
        <f t="shared" ca="1" si="87"/>
        <v>48429.24533333334</v>
      </c>
      <c r="Q881" s="667">
        <f t="shared" ca="1" si="85"/>
        <v>48429.24533333334</v>
      </c>
      <c r="R881" s="669" t="s">
        <v>1769</v>
      </c>
    </row>
    <row r="882" spans="2:18" s="395" customFormat="1" ht="60" customHeight="1" x14ac:dyDescent="0.25">
      <c r="B882" s="688">
        <v>44812</v>
      </c>
      <c r="C882" s="688" t="s">
        <v>2351</v>
      </c>
      <c r="D882" s="651" t="s">
        <v>1794</v>
      </c>
      <c r="E882" s="651" t="s">
        <v>1832</v>
      </c>
      <c r="F882" s="652" t="s">
        <v>1800</v>
      </c>
      <c r="G882" s="651" t="s">
        <v>1833</v>
      </c>
      <c r="H882" s="616" t="s">
        <v>4441</v>
      </c>
      <c r="I882" s="615" t="s">
        <v>4501</v>
      </c>
      <c r="J882" s="684">
        <v>66039.88</v>
      </c>
      <c r="K882" s="684">
        <v>53.015799999999999</v>
      </c>
      <c r="L882" s="655">
        <f t="shared" si="88"/>
        <v>1245.6641227709476</v>
      </c>
      <c r="M882" s="628">
        <v>60</v>
      </c>
      <c r="N882" s="667">
        <f t="shared" si="89"/>
        <v>1100.6646666666668</v>
      </c>
      <c r="O882" s="668">
        <f t="shared" ca="1" si="86"/>
        <v>16</v>
      </c>
      <c r="P882" s="655">
        <f t="shared" ca="1" si="87"/>
        <v>48429.24533333334</v>
      </c>
      <c r="Q882" s="667">
        <f t="shared" ca="1" si="85"/>
        <v>48429.24533333334</v>
      </c>
      <c r="R882" s="669" t="s">
        <v>1769</v>
      </c>
    </row>
    <row r="883" spans="2:18" s="395" customFormat="1" ht="60" customHeight="1" x14ac:dyDescent="0.25">
      <c r="B883" s="688">
        <v>44812</v>
      </c>
      <c r="C883" s="688" t="s">
        <v>2351</v>
      </c>
      <c r="D883" s="651" t="s">
        <v>1794</v>
      </c>
      <c r="E883" s="651" t="s">
        <v>1834</v>
      </c>
      <c r="F883" s="652" t="s">
        <v>1800</v>
      </c>
      <c r="G883" s="651" t="s">
        <v>1835</v>
      </c>
      <c r="H883" s="616" t="s">
        <v>45</v>
      </c>
      <c r="I883" s="615" t="s">
        <v>4500</v>
      </c>
      <c r="J883" s="684">
        <v>66039.88</v>
      </c>
      <c r="K883" s="684">
        <v>53.015799999999999</v>
      </c>
      <c r="L883" s="655">
        <f t="shared" si="88"/>
        <v>1245.6641227709476</v>
      </c>
      <c r="M883" s="628">
        <v>60</v>
      </c>
      <c r="N883" s="667">
        <f t="shared" si="89"/>
        <v>1100.6646666666668</v>
      </c>
      <c r="O883" s="668">
        <f t="shared" ca="1" si="86"/>
        <v>16</v>
      </c>
      <c r="P883" s="655">
        <f t="shared" ca="1" si="87"/>
        <v>48429.24533333334</v>
      </c>
      <c r="Q883" s="667">
        <f t="shared" ca="1" si="85"/>
        <v>48429.24533333334</v>
      </c>
      <c r="R883" s="669" t="s">
        <v>1769</v>
      </c>
    </row>
    <row r="884" spans="2:18" s="395" customFormat="1" ht="60" customHeight="1" x14ac:dyDescent="0.25">
      <c r="B884" s="688">
        <v>44812</v>
      </c>
      <c r="C884" s="688" t="s">
        <v>2351</v>
      </c>
      <c r="D884" s="651" t="s">
        <v>1794</v>
      </c>
      <c r="E884" s="651" t="s">
        <v>1836</v>
      </c>
      <c r="F884" s="652" t="s">
        <v>1837</v>
      </c>
      <c r="G884" s="651" t="s">
        <v>1838</v>
      </c>
      <c r="H884" s="616" t="s">
        <v>4436</v>
      </c>
      <c r="I884" s="615" t="s">
        <v>4499</v>
      </c>
      <c r="J884" s="684">
        <v>4498.16</v>
      </c>
      <c r="K884" s="684">
        <v>53.015799999999999</v>
      </c>
      <c r="L884" s="655">
        <f t="shared" si="88"/>
        <v>84.845649787421863</v>
      </c>
      <c r="M884" s="628">
        <v>60</v>
      </c>
      <c r="N884" s="667">
        <f t="shared" si="89"/>
        <v>74.969333333333324</v>
      </c>
      <c r="O884" s="668">
        <f t="shared" ca="1" si="86"/>
        <v>16</v>
      </c>
      <c r="P884" s="655">
        <f t="shared" ca="1" si="87"/>
        <v>3298.6506666666664</v>
      </c>
      <c r="Q884" s="667">
        <f t="shared" ca="1" si="85"/>
        <v>3298.6506666666664</v>
      </c>
      <c r="R884" s="669" t="s">
        <v>1769</v>
      </c>
    </row>
    <row r="885" spans="2:18" s="395" customFormat="1" ht="60" customHeight="1" x14ac:dyDescent="0.25">
      <c r="B885" s="688">
        <v>44812</v>
      </c>
      <c r="C885" s="688" t="s">
        <v>2351</v>
      </c>
      <c r="D885" s="651" t="s">
        <v>1794</v>
      </c>
      <c r="E885" s="651" t="s">
        <v>1839</v>
      </c>
      <c r="F885" s="652" t="s">
        <v>1837</v>
      </c>
      <c r="G885" s="651" t="s">
        <v>1840</v>
      </c>
      <c r="H885" s="616" t="s">
        <v>4437</v>
      </c>
      <c r="I885" s="615" t="s">
        <v>4501</v>
      </c>
      <c r="J885" s="684">
        <v>4498.16</v>
      </c>
      <c r="K885" s="684">
        <v>53.015799999999999</v>
      </c>
      <c r="L885" s="655">
        <f t="shared" si="88"/>
        <v>84.845649787421863</v>
      </c>
      <c r="M885" s="628">
        <v>60</v>
      </c>
      <c r="N885" s="667">
        <f t="shared" si="89"/>
        <v>74.969333333333324</v>
      </c>
      <c r="O885" s="668">
        <f t="shared" ca="1" si="86"/>
        <v>16</v>
      </c>
      <c r="P885" s="655">
        <f t="shared" ca="1" si="87"/>
        <v>3298.6506666666664</v>
      </c>
      <c r="Q885" s="667">
        <f t="shared" ca="1" si="85"/>
        <v>3298.6506666666664</v>
      </c>
      <c r="R885" s="669" t="s">
        <v>1769</v>
      </c>
    </row>
    <row r="886" spans="2:18" s="395" customFormat="1" ht="60" customHeight="1" x14ac:dyDescent="0.25">
      <c r="B886" s="688">
        <v>44812</v>
      </c>
      <c r="C886" s="688" t="s">
        <v>2351</v>
      </c>
      <c r="D886" s="651" t="s">
        <v>1794</v>
      </c>
      <c r="E886" s="651" t="s">
        <v>1841</v>
      </c>
      <c r="F886" s="652" t="s">
        <v>1837</v>
      </c>
      <c r="G886" s="651" t="s">
        <v>1842</v>
      </c>
      <c r="H886" s="616" t="s">
        <v>4436</v>
      </c>
      <c r="I886" s="615" t="s">
        <v>4499</v>
      </c>
      <c r="J886" s="684">
        <v>4498.16</v>
      </c>
      <c r="K886" s="684">
        <v>53.015799999999999</v>
      </c>
      <c r="L886" s="655">
        <f t="shared" si="88"/>
        <v>84.845649787421863</v>
      </c>
      <c r="M886" s="628">
        <v>60</v>
      </c>
      <c r="N886" s="667">
        <f t="shared" si="89"/>
        <v>74.969333333333324</v>
      </c>
      <c r="O886" s="668">
        <f t="shared" ca="1" si="86"/>
        <v>16</v>
      </c>
      <c r="P886" s="655">
        <f t="shared" ca="1" si="87"/>
        <v>3298.6506666666664</v>
      </c>
      <c r="Q886" s="667">
        <f t="shared" ca="1" si="85"/>
        <v>3298.6506666666664</v>
      </c>
      <c r="R886" s="669" t="s">
        <v>1769</v>
      </c>
    </row>
    <row r="887" spans="2:18" s="395" customFormat="1" ht="60" customHeight="1" x14ac:dyDescent="0.25">
      <c r="B887" s="688">
        <v>44812</v>
      </c>
      <c r="C887" s="688" t="s">
        <v>2351</v>
      </c>
      <c r="D887" s="651" t="s">
        <v>1794</v>
      </c>
      <c r="E887" s="651" t="s">
        <v>1843</v>
      </c>
      <c r="F887" s="652" t="s">
        <v>1837</v>
      </c>
      <c r="G887" s="651" t="s">
        <v>1844</v>
      </c>
      <c r="H887" s="616" t="s">
        <v>45</v>
      </c>
      <c r="I887" s="615" t="s">
        <v>4500</v>
      </c>
      <c r="J887" s="684">
        <v>4498.16</v>
      </c>
      <c r="K887" s="684">
        <v>53.015799999999999</v>
      </c>
      <c r="L887" s="655">
        <f t="shared" si="88"/>
        <v>84.845649787421863</v>
      </c>
      <c r="M887" s="628">
        <v>60</v>
      </c>
      <c r="N887" s="667">
        <f t="shared" si="89"/>
        <v>74.969333333333324</v>
      </c>
      <c r="O887" s="668">
        <f t="shared" ca="1" si="86"/>
        <v>16</v>
      </c>
      <c r="P887" s="655">
        <f t="shared" ca="1" si="87"/>
        <v>3298.6506666666664</v>
      </c>
      <c r="Q887" s="667">
        <f t="shared" ca="1" si="85"/>
        <v>3298.6506666666664</v>
      </c>
      <c r="R887" s="669" t="s">
        <v>1769</v>
      </c>
    </row>
    <row r="888" spans="2:18" s="395" customFormat="1" ht="60" customHeight="1" x14ac:dyDescent="0.25">
      <c r="B888" s="688">
        <v>44812</v>
      </c>
      <c r="C888" s="688" t="s">
        <v>2351</v>
      </c>
      <c r="D888" s="651" t="s">
        <v>1794</v>
      </c>
      <c r="E888" s="651" t="s">
        <v>1845</v>
      </c>
      <c r="F888" s="652" t="s">
        <v>1837</v>
      </c>
      <c r="G888" s="615" t="s">
        <v>4254</v>
      </c>
      <c r="H888" s="616" t="s">
        <v>1381</v>
      </c>
      <c r="I888" s="615" t="s">
        <v>4502</v>
      </c>
      <c r="J888" s="684">
        <v>4498.16</v>
      </c>
      <c r="K888" s="684">
        <v>53.015799999999999</v>
      </c>
      <c r="L888" s="655">
        <f t="shared" si="88"/>
        <v>84.845649787421863</v>
      </c>
      <c r="M888" s="628">
        <v>60</v>
      </c>
      <c r="N888" s="667">
        <f t="shared" si="89"/>
        <v>74.969333333333324</v>
      </c>
      <c r="O888" s="668">
        <f t="shared" ca="1" si="86"/>
        <v>16</v>
      </c>
      <c r="P888" s="655">
        <f t="shared" ca="1" si="87"/>
        <v>3298.6506666666664</v>
      </c>
      <c r="Q888" s="667">
        <f t="shared" ca="1" si="85"/>
        <v>3298.6506666666664</v>
      </c>
      <c r="R888" s="669" t="s">
        <v>1769</v>
      </c>
    </row>
    <row r="889" spans="2:18" s="395" customFormat="1" ht="60" customHeight="1" x14ac:dyDescent="0.25">
      <c r="B889" s="688">
        <v>44812</v>
      </c>
      <c r="C889" s="688" t="s">
        <v>2351</v>
      </c>
      <c r="D889" s="651" t="s">
        <v>1794</v>
      </c>
      <c r="E889" s="651" t="s">
        <v>1847</v>
      </c>
      <c r="F889" s="652" t="s">
        <v>1837</v>
      </c>
      <c r="G889" s="615" t="s">
        <v>1848</v>
      </c>
      <c r="H889" s="616" t="s">
        <v>1345</v>
      </c>
      <c r="I889" s="615" t="s">
        <v>4497</v>
      </c>
      <c r="J889" s="684">
        <v>4498.16</v>
      </c>
      <c r="K889" s="684">
        <v>53.015799999999999</v>
      </c>
      <c r="L889" s="655">
        <f t="shared" si="88"/>
        <v>84.845649787421863</v>
      </c>
      <c r="M889" s="628">
        <v>60</v>
      </c>
      <c r="N889" s="667">
        <f t="shared" si="89"/>
        <v>74.969333333333324</v>
      </c>
      <c r="O889" s="668">
        <f t="shared" ca="1" si="86"/>
        <v>16</v>
      </c>
      <c r="P889" s="655">
        <f t="shared" ca="1" si="87"/>
        <v>3298.6506666666664</v>
      </c>
      <c r="Q889" s="667">
        <f t="shared" ca="1" si="85"/>
        <v>3298.6506666666664</v>
      </c>
      <c r="R889" s="669" t="s">
        <v>1769</v>
      </c>
    </row>
    <row r="890" spans="2:18" s="395" customFormat="1" ht="60" customHeight="1" x14ac:dyDescent="0.25">
      <c r="B890" s="688">
        <v>44812</v>
      </c>
      <c r="C890" s="688" t="s">
        <v>2351</v>
      </c>
      <c r="D890" s="651" t="s">
        <v>1794</v>
      </c>
      <c r="E890" s="651" t="s">
        <v>1849</v>
      </c>
      <c r="F890" s="652" t="s">
        <v>1837</v>
      </c>
      <c r="G890" s="651" t="s">
        <v>1850</v>
      </c>
      <c r="H890" s="616" t="s">
        <v>45</v>
      </c>
      <c r="I890" s="615" t="s">
        <v>4500</v>
      </c>
      <c r="J890" s="684">
        <v>4498.16</v>
      </c>
      <c r="K890" s="684">
        <v>53.015799999999999</v>
      </c>
      <c r="L890" s="655">
        <f t="shared" si="88"/>
        <v>84.845649787421863</v>
      </c>
      <c r="M890" s="628">
        <v>60</v>
      </c>
      <c r="N890" s="667">
        <f t="shared" si="89"/>
        <v>74.969333333333324</v>
      </c>
      <c r="O890" s="668">
        <f t="shared" ca="1" si="86"/>
        <v>16</v>
      </c>
      <c r="P890" s="655">
        <f t="shared" ca="1" si="87"/>
        <v>3298.6506666666664</v>
      </c>
      <c r="Q890" s="667">
        <f t="shared" ca="1" si="85"/>
        <v>3298.6506666666664</v>
      </c>
      <c r="R890" s="669" t="s">
        <v>1769</v>
      </c>
    </row>
    <row r="891" spans="2:18" s="395" customFormat="1" ht="60" customHeight="1" x14ac:dyDescent="0.25">
      <c r="B891" s="688">
        <v>44812</v>
      </c>
      <c r="C891" s="688" t="s">
        <v>2351</v>
      </c>
      <c r="D891" s="651" t="s">
        <v>1794</v>
      </c>
      <c r="E891" s="651" t="s">
        <v>1851</v>
      </c>
      <c r="F891" s="652" t="s">
        <v>1837</v>
      </c>
      <c r="G891" s="651" t="s">
        <v>1852</v>
      </c>
      <c r="H891" s="616" t="s">
        <v>1381</v>
      </c>
      <c r="I891" s="615" t="s">
        <v>4502</v>
      </c>
      <c r="J891" s="684">
        <v>4498.16</v>
      </c>
      <c r="K891" s="684">
        <v>53.015799999999999</v>
      </c>
      <c r="L891" s="655">
        <f t="shared" si="88"/>
        <v>84.845649787421863</v>
      </c>
      <c r="M891" s="628">
        <v>60</v>
      </c>
      <c r="N891" s="667">
        <f t="shared" si="89"/>
        <v>74.969333333333324</v>
      </c>
      <c r="O891" s="668">
        <f t="shared" ca="1" si="86"/>
        <v>16</v>
      </c>
      <c r="P891" s="655">
        <f t="shared" ca="1" si="87"/>
        <v>3298.6506666666664</v>
      </c>
      <c r="Q891" s="667">
        <f t="shared" ca="1" si="85"/>
        <v>3298.6506666666664</v>
      </c>
      <c r="R891" s="669" t="s">
        <v>1769</v>
      </c>
    </row>
    <row r="892" spans="2:18" s="395" customFormat="1" ht="60" customHeight="1" x14ac:dyDescent="0.25">
      <c r="B892" s="688">
        <v>44812</v>
      </c>
      <c r="C892" s="688" t="s">
        <v>2351</v>
      </c>
      <c r="D892" s="651" t="s">
        <v>1794</v>
      </c>
      <c r="E892" s="651" t="s">
        <v>1853</v>
      </c>
      <c r="F892" s="652" t="s">
        <v>1837</v>
      </c>
      <c r="G892" s="651" t="s">
        <v>1854</v>
      </c>
      <c r="H892" s="616" t="s">
        <v>4438</v>
      </c>
      <c r="I892" s="615" t="s">
        <v>4501</v>
      </c>
      <c r="J892" s="684">
        <v>4498.16</v>
      </c>
      <c r="K892" s="684">
        <v>53.015799999999999</v>
      </c>
      <c r="L892" s="655">
        <f t="shared" si="88"/>
        <v>84.845649787421863</v>
      </c>
      <c r="M892" s="628">
        <v>60</v>
      </c>
      <c r="N892" s="667">
        <f t="shared" si="89"/>
        <v>74.969333333333324</v>
      </c>
      <c r="O892" s="668">
        <f t="shared" ca="1" si="86"/>
        <v>16</v>
      </c>
      <c r="P892" s="655">
        <f t="shared" ca="1" si="87"/>
        <v>3298.6506666666664</v>
      </c>
      <c r="Q892" s="667">
        <f t="shared" ca="1" si="85"/>
        <v>3298.6506666666664</v>
      </c>
      <c r="R892" s="669" t="s">
        <v>1769</v>
      </c>
    </row>
    <row r="893" spans="2:18" s="395" customFormat="1" ht="60" customHeight="1" x14ac:dyDescent="0.25">
      <c r="B893" s="688">
        <v>44812</v>
      </c>
      <c r="C893" s="688" t="s">
        <v>2351</v>
      </c>
      <c r="D893" s="651" t="s">
        <v>1794</v>
      </c>
      <c r="E893" s="651" t="s">
        <v>1855</v>
      </c>
      <c r="F893" s="652" t="s">
        <v>1837</v>
      </c>
      <c r="G893" s="651" t="s">
        <v>1856</v>
      </c>
      <c r="H893" s="616" t="s">
        <v>1345</v>
      </c>
      <c r="I893" s="615" t="s">
        <v>4497</v>
      </c>
      <c r="J893" s="684">
        <v>4498.16</v>
      </c>
      <c r="K893" s="684">
        <v>53.015799999999999</v>
      </c>
      <c r="L893" s="655">
        <f t="shared" si="88"/>
        <v>84.845649787421863</v>
      </c>
      <c r="M893" s="628">
        <v>60</v>
      </c>
      <c r="N893" s="667">
        <f t="shared" si="89"/>
        <v>74.969333333333324</v>
      </c>
      <c r="O893" s="668">
        <f t="shared" ca="1" si="86"/>
        <v>16</v>
      </c>
      <c r="P893" s="655">
        <f t="shared" ca="1" si="87"/>
        <v>3298.6506666666664</v>
      </c>
      <c r="Q893" s="667">
        <f t="shared" ca="1" si="85"/>
        <v>3298.6506666666664</v>
      </c>
      <c r="R893" s="669" t="s">
        <v>1769</v>
      </c>
    </row>
    <row r="894" spans="2:18" s="395" customFormat="1" ht="60" customHeight="1" x14ac:dyDescent="0.25">
      <c r="B894" s="688">
        <v>44812</v>
      </c>
      <c r="C894" s="688" t="s">
        <v>2351</v>
      </c>
      <c r="D894" s="651" t="s">
        <v>1794</v>
      </c>
      <c r="E894" s="651" t="s">
        <v>1857</v>
      </c>
      <c r="F894" s="652" t="s">
        <v>1837</v>
      </c>
      <c r="G894" s="651" t="s">
        <v>1858</v>
      </c>
      <c r="H894" s="616" t="s">
        <v>45</v>
      </c>
      <c r="I894" s="615" t="s">
        <v>4500</v>
      </c>
      <c r="J894" s="684">
        <v>4498.16</v>
      </c>
      <c r="K894" s="684">
        <v>53.015799999999999</v>
      </c>
      <c r="L894" s="655">
        <f t="shared" si="88"/>
        <v>84.845649787421863</v>
      </c>
      <c r="M894" s="628">
        <v>60</v>
      </c>
      <c r="N894" s="667">
        <f t="shared" si="89"/>
        <v>74.969333333333324</v>
      </c>
      <c r="O894" s="668">
        <f t="shared" ca="1" si="86"/>
        <v>16</v>
      </c>
      <c r="P894" s="655">
        <f t="shared" ca="1" si="87"/>
        <v>3298.6506666666664</v>
      </c>
      <c r="Q894" s="667">
        <f t="shared" ca="1" si="85"/>
        <v>3298.6506666666664</v>
      </c>
      <c r="R894" s="669" t="s">
        <v>1769</v>
      </c>
    </row>
    <row r="895" spans="2:18" s="395" customFormat="1" ht="60" customHeight="1" x14ac:dyDescent="0.25">
      <c r="B895" s="688">
        <v>44812</v>
      </c>
      <c r="C895" s="688" t="s">
        <v>2351</v>
      </c>
      <c r="D895" s="651" t="s">
        <v>1794</v>
      </c>
      <c r="E895" s="651" t="s">
        <v>1859</v>
      </c>
      <c r="F895" s="652" t="s">
        <v>1837</v>
      </c>
      <c r="G895" s="651" t="s">
        <v>1860</v>
      </c>
      <c r="H895" s="616" t="s">
        <v>4438</v>
      </c>
      <c r="I895" s="615" t="s">
        <v>4501</v>
      </c>
      <c r="J895" s="684">
        <v>4498.16</v>
      </c>
      <c r="K895" s="684">
        <v>53.015799999999999</v>
      </c>
      <c r="L895" s="655">
        <f t="shared" si="88"/>
        <v>84.845649787421863</v>
      </c>
      <c r="M895" s="628">
        <v>60</v>
      </c>
      <c r="N895" s="667">
        <f t="shared" si="89"/>
        <v>74.969333333333324</v>
      </c>
      <c r="O895" s="668">
        <f t="shared" ca="1" si="86"/>
        <v>16</v>
      </c>
      <c r="P895" s="655">
        <f t="shared" ca="1" si="87"/>
        <v>3298.6506666666664</v>
      </c>
      <c r="Q895" s="667">
        <f t="shared" ca="1" si="85"/>
        <v>3298.6506666666664</v>
      </c>
      <c r="R895" s="669" t="s">
        <v>1769</v>
      </c>
    </row>
    <row r="896" spans="2:18" s="395" customFormat="1" ht="60" customHeight="1" x14ac:dyDescent="0.25">
      <c r="B896" s="688">
        <v>44812</v>
      </c>
      <c r="C896" s="688" t="s">
        <v>2351</v>
      </c>
      <c r="D896" s="651" t="s">
        <v>1794</v>
      </c>
      <c r="E896" s="651" t="s">
        <v>1861</v>
      </c>
      <c r="F896" s="652" t="s">
        <v>1837</v>
      </c>
      <c r="G896" s="651" t="s">
        <v>1862</v>
      </c>
      <c r="H896" s="616" t="s">
        <v>1345</v>
      </c>
      <c r="I896" s="615" t="s">
        <v>4497</v>
      </c>
      <c r="J896" s="684">
        <v>4498.16</v>
      </c>
      <c r="K896" s="684">
        <v>53.015799999999999</v>
      </c>
      <c r="L896" s="655">
        <f t="shared" si="88"/>
        <v>84.845649787421863</v>
      </c>
      <c r="M896" s="628">
        <v>60</v>
      </c>
      <c r="N896" s="667">
        <f t="shared" si="89"/>
        <v>74.969333333333324</v>
      </c>
      <c r="O896" s="668">
        <f t="shared" ca="1" si="86"/>
        <v>16</v>
      </c>
      <c r="P896" s="655">
        <f t="shared" ca="1" si="87"/>
        <v>3298.6506666666664</v>
      </c>
      <c r="Q896" s="667">
        <f t="shared" ca="1" si="85"/>
        <v>3298.6506666666664</v>
      </c>
      <c r="R896" s="669" t="s">
        <v>1769</v>
      </c>
    </row>
    <row r="897" spans="1:18" s="395" customFormat="1" ht="60" customHeight="1" x14ac:dyDescent="0.25">
      <c r="B897" s="688">
        <v>44812</v>
      </c>
      <c r="C897" s="688" t="s">
        <v>2351</v>
      </c>
      <c r="D897" s="651" t="s">
        <v>1794</v>
      </c>
      <c r="E897" s="651" t="s">
        <v>1863</v>
      </c>
      <c r="F897" s="652" t="s">
        <v>1837</v>
      </c>
      <c r="G897" s="651" t="s">
        <v>1864</v>
      </c>
      <c r="H897" s="616" t="s">
        <v>4439</v>
      </c>
      <c r="I897" s="615" t="s">
        <v>4503</v>
      </c>
      <c r="J897" s="684">
        <v>4498.16</v>
      </c>
      <c r="K897" s="684">
        <v>53.015799999999999</v>
      </c>
      <c r="L897" s="655">
        <f t="shared" si="88"/>
        <v>84.845649787421863</v>
      </c>
      <c r="M897" s="628">
        <v>60</v>
      </c>
      <c r="N897" s="667">
        <f t="shared" si="89"/>
        <v>74.969333333333324</v>
      </c>
      <c r="O897" s="668">
        <f t="shared" ca="1" si="86"/>
        <v>16</v>
      </c>
      <c r="P897" s="655">
        <f t="shared" ca="1" si="87"/>
        <v>3298.6506666666664</v>
      </c>
      <c r="Q897" s="667">
        <f t="shared" ca="1" si="85"/>
        <v>3298.6506666666664</v>
      </c>
      <c r="R897" s="669" t="s">
        <v>1769</v>
      </c>
    </row>
    <row r="898" spans="1:18" s="395" customFormat="1" ht="60" customHeight="1" x14ac:dyDescent="0.25">
      <c r="B898" s="688">
        <v>44812</v>
      </c>
      <c r="C898" s="688" t="s">
        <v>2351</v>
      </c>
      <c r="D898" s="651" t="s">
        <v>1794</v>
      </c>
      <c r="E898" s="651" t="s">
        <v>1865</v>
      </c>
      <c r="F898" s="652" t="s">
        <v>1837</v>
      </c>
      <c r="G898" s="651" t="s">
        <v>1866</v>
      </c>
      <c r="H898" s="616" t="s">
        <v>4436</v>
      </c>
      <c r="I898" s="615" t="s">
        <v>4499</v>
      </c>
      <c r="J898" s="684">
        <v>4498.16</v>
      </c>
      <c r="K898" s="684">
        <v>53.015799999999999</v>
      </c>
      <c r="L898" s="655">
        <f t="shared" si="88"/>
        <v>84.845649787421863</v>
      </c>
      <c r="M898" s="628">
        <v>60</v>
      </c>
      <c r="N898" s="667">
        <f t="shared" si="89"/>
        <v>74.969333333333324</v>
      </c>
      <c r="O898" s="668">
        <f t="shared" ca="1" si="86"/>
        <v>16</v>
      </c>
      <c r="P898" s="655">
        <f t="shared" ca="1" si="87"/>
        <v>3298.6506666666664</v>
      </c>
      <c r="Q898" s="667">
        <f t="shared" ca="1" si="85"/>
        <v>3298.6506666666664</v>
      </c>
      <c r="R898" s="669" t="s">
        <v>1769</v>
      </c>
    </row>
    <row r="899" spans="1:18" s="395" customFormat="1" ht="60" customHeight="1" x14ac:dyDescent="0.25">
      <c r="B899" s="688">
        <v>44812</v>
      </c>
      <c r="C899" s="688" t="s">
        <v>2351</v>
      </c>
      <c r="D899" s="651" t="s">
        <v>1794</v>
      </c>
      <c r="E899" s="651" t="s">
        <v>1867</v>
      </c>
      <c r="F899" s="652" t="s">
        <v>1837</v>
      </c>
      <c r="G899" s="651" t="s">
        <v>1868</v>
      </c>
      <c r="H899" s="616" t="s">
        <v>1381</v>
      </c>
      <c r="I899" s="615" t="s">
        <v>4502</v>
      </c>
      <c r="J899" s="684">
        <v>4498.16</v>
      </c>
      <c r="K899" s="684">
        <v>53.015799999999999</v>
      </c>
      <c r="L899" s="655">
        <f t="shared" si="88"/>
        <v>84.845649787421863</v>
      </c>
      <c r="M899" s="628">
        <v>60</v>
      </c>
      <c r="N899" s="667">
        <f t="shared" si="89"/>
        <v>74.969333333333324</v>
      </c>
      <c r="O899" s="668">
        <f t="shared" ca="1" si="86"/>
        <v>16</v>
      </c>
      <c r="P899" s="655">
        <f t="shared" ca="1" si="87"/>
        <v>3298.6506666666664</v>
      </c>
      <c r="Q899" s="667">
        <f t="shared" ca="1" si="85"/>
        <v>3298.6506666666664</v>
      </c>
      <c r="R899" s="669" t="s">
        <v>1769</v>
      </c>
    </row>
    <row r="900" spans="1:18" s="395" customFormat="1" ht="60" customHeight="1" x14ac:dyDescent="0.25">
      <c r="B900" s="688">
        <v>44812</v>
      </c>
      <c r="C900" s="688" t="s">
        <v>2351</v>
      </c>
      <c r="D900" s="651" t="s">
        <v>1794</v>
      </c>
      <c r="E900" s="651" t="s">
        <v>1869</v>
      </c>
      <c r="F900" s="652" t="s">
        <v>1837</v>
      </c>
      <c r="G900" s="651" t="s">
        <v>1870</v>
      </c>
      <c r="H900" s="616" t="s">
        <v>4440</v>
      </c>
      <c r="I900" s="615" t="s">
        <v>4501</v>
      </c>
      <c r="J900" s="684">
        <v>4498.16</v>
      </c>
      <c r="K900" s="684">
        <v>53.015799999999999</v>
      </c>
      <c r="L900" s="655">
        <f t="shared" si="88"/>
        <v>84.845649787421863</v>
      </c>
      <c r="M900" s="628">
        <v>60</v>
      </c>
      <c r="N900" s="667">
        <f t="shared" si="89"/>
        <v>74.969333333333324</v>
      </c>
      <c r="O900" s="668">
        <f t="shared" ca="1" si="86"/>
        <v>16</v>
      </c>
      <c r="P900" s="655">
        <f t="shared" ca="1" si="87"/>
        <v>3298.6506666666664</v>
      </c>
      <c r="Q900" s="667">
        <f t="shared" ca="1" si="85"/>
        <v>3298.6506666666664</v>
      </c>
      <c r="R900" s="669" t="s">
        <v>1769</v>
      </c>
    </row>
    <row r="901" spans="1:18" s="395" customFormat="1" ht="65.099999999999994" customHeight="1" x14ac:dyDescent="0.25">
      <c r="B901" s="688">
        <v>44812</v>
      </c>
      <c r="C901" s="688" t="s">
        <v>2351</v>
      </c>
      <c r="D901" s="651" t="s">
        <v>1794</v>
      </c>
      <c r="E901" s="651" t="s">
        <v>1871</v>
      </c>
      <c r="F901" s="652" t="s">
        <v>1837</v>
      </c>
      <c r="G901" s="651" t="s">
        <v>1872</v>
      </c>
      <c r="H901" s="616" t="s">
        <v>4436</v>
      </c>
      <c r="I901" s="615" t="s">
        <v>4499</v>
      </c>
      <c r="J901" s="684">
        <v>4498.16</v>
      </c>
      <c r="K901" s="684">
        <v>53.015799999999999</v>
      </c>
      <c r="L901" s="655">
        <f t="shared" si="88"/>
        <v>84.845649787421863</v>
      </c>
      <c r="M901" s="628">
        <v>60</v>
      </c>
      <c r="N901" s="667">
        <f t="shared" si="89"/>
        <v>74.969333333333324</v>
      </c>
      <c r="O901" s="668">
        <f t="shared" ca="1" si="86"/>
        <v>16</v>
      </c>
      <c r="P901" s="655">
        <f t="shared" ca="1" si="87"/>
        <v>3298.6506666666664</v>
      </c>
      <c r="Q901" s="667">
        <f t="shared" ca="1" si="85"/>
        <v>3298.6506666666664</v>
      </c>
      <c r="R901" s="669" t="s">
        <v>1769</v>
      </c>
    </row>
    <row r="902" spans="1:18" s="395" customFormat="1" ht="65.099999999999994" customHeight="1" x14ac:dyDescent="0.25">
      <c r="B902" s="688">
        <v>44812</v>
      </c>
      <c r="C902" s="688" t="s">
        <v>2351</v>
      </c>
      <c r="D902" s="651" t="s">
        <v>1794</v>
      </c>
      <c r="E902" s="651" t="s">
        <v>1873</v>
      </c>
      <c r="F902" s="652" t="s">
        <v>1837</v>
      </c>
      <c r="G902" s="651" t="s">
        <v>1874</v>
      </c>
      <c r="H902" s="616" t="s">
        <v>4436</v>
      </c>
      <c r="I902" s="615" t="s">
        <v>4499</v>
      </c>
      <c r="J902" s="684">
        <v>4498.16</v>
      </c>
      <c r="K902" s="684">
        <v>53.015799999999999</v>
      </c>
      <c r="L902" s="655">
        <f t="shared" si="88"/>
        <v>84.845649787421863</v>
      </c>
      <c r="M902" s="628">
        <v>60</v>
      </c>
      <c r="N902" s="667">
        <f t="shared" si="89"/>
        <v>74.969333333333324</v>
      </c>
      <c r="O902" s="668">
        <f t="shared" ca="1" si="86"/>
        <v>16</v>
      </c>
      <c r="P902" s="655">
        <f t="shared" ca="1" si="87"/>
        <v>3298.6506666666664</v>
      </c>
      <c r="Q902" s="667">
        <f t="shared" ca="1" si="85"/>
        <v>3298.6506666666664</v>
      </c>
      <c r="R902" s="669" t="s">
        <v>1769</v>
      </c>
    </row>
    <row r="903" spans="1:18" ht="65.099999999999994" customHeight="1" x14ac:dyDescent="0.25">
      <c r="A903" s="395"/>
      <c r="B903" s="688">
        <v>44841</v>
      </c>
      <c r="C903" s="688" t="s">
        <v>2351</v>
      </c>
      <c r="D903" s="651" t="s">
        <v>1875</v>
      </c>
      <c r="E903" s="651" t="s">
        <v>1876</v>
      </c>
      <c r="F903" s="652" t="s">
        <v>1877</v>
      </c>
      <c r="G903" s="651" t="s">
        <v>1878</v>
      </c>
      <c r="H903" s="615" t="s">
        <v>4255</v>
      </c>
      <c r="I903" s="679" t="s">
        <v>4253</v>
      </c>
      <c r="J903" s="684">
        <v>14075.63</v>
      </c>
      <c r="K903" s="684">
        <v>53.642899999999997</v>
      </c>
      <c r="L903" s="655">
        <f t="shared" si="88"/>
        <v>262.39502338613312</v>
      </c>
      <c r="M903" s="628">
        <v>60</v>
      </c>
      <c r="N903" s="667">
        <f t="shared" si="89"/>
        <v>234.59383333333332</v>
      </c>
      <c r="O903" s="668">
        <f t="shared" ca="1" si="86"/>
        <v>15</v>
      </c>
      <c r="P903" s="655">
        <f t="shared" ca="1" si="87"/>
        <v>10556.7225</v>
      </c>
      <c r="Q903" s="667">
        <f t="shared" ca="1" si="85"/>
        <v>10556.7225</v>
      </c>
      <c r="R903" s="669" t="s">
        <v>1104</v>
      </c>
    </row>
    <row r="904" spans="1:18" ht="65.099999999999994" customHeight="1" x14ac:dyDescent="0.25">
      <c r="A904" s="395"/>
      <c r="B904" s="688">
        <v>44841</v>
      </c>
      <c r="C904" s="688" t="s">
        <v>2351</v>
      </c>
      <c r="D904" s="651" t="s">
        <v>1875</v>
      </c>
      <c r="E904" s="651" t="s">
        <v>1879</v>
      </c>
      <c r="F904" s="652" t="s">
        <v>1877</v>
      </c>
      <c r="G904" s="651" t="s">
        <v>1880</v>
      </c>
      <c r="H904" s="615" t="s">
        <v>4255</v>
      </c>
      <c r="I904" s="679" t="s">
        <v>4253</v>
      </c>
      <c r="J904" s="684">
        <v>14075.63</v>
      </c>
      <c r="K904" s="684">
        <v>53.642899999999997</v>
      </c>
      <c r="L904" s="655">
        <f t="shared" si="88"/>
        <v>262.39502338613312</v>
      </c>
      <c r="M904" s="628">
        <v>60</v>
      </c>
      <c r="N904" s="667">
        <f t="shared" si="89"/>
        <v>234.59383333333332</v>
      </c>
      <c r="O904" s="668">
        <f t="shared" ca="1" si="86"/>
        <v>15</v>
      </c>
      <c r="P904" s="655">
        <f t="shared" ca="1" si="87"/>
        <v>10556.7225</v>
      </c>
      <c r="Q904" s="667">
        <f t="shared" ref="Q904:Q967" ca="1" si="90">IF(P904&lt;1,1,P904)</f>
        <v>10556.7225</v>
      </c>
      <c r="R904" s="669" t="s">
        <v>1104</v>
      </c>
    </row>
    <row r="905" spans="1:18" ht="65.099999999999994" customHeight="1" x14ac:dyDescent="0.25">
      <c r="A905" s="395"/>
      <c r="B905" s="688">
        <v>44841</v>
      </c>
      <c r="C905" s="688" t="s">
        <v>2351</v>
      </c>
      <c r="D905" s="651" t="s">
        <v>1875</v>
      </c>
      <c r="E905" s="651" t="s">
        <v>1881</v>
      </c>
      <c r="F905" s="652" t="s">
        <v>1877</v>
      </c>
      <c r="G905" s="651" t="s">
        <v>1882</v>
      </c>
      <c r="H905" s="615" t="s">
        <v>4255</v>
      </c>
      <c r="I905" s="679" t="s">
        <v>4253</v>
      </c>
      <c r="J905" s="684">
        <v>14075.63</v>
      </c>
      <c r="K905" s="684">
        <v>53.642899999999997</v>
      </c>
      <c r="L905" s="655">
        <f t="shared" si="88"/>
        <v>262.39502338613312</v>
      </c>
      <c r="M905" s="628">
        <v>60</v>
      </c>
      <c r="N905" s="667">
        <f t="shared" si="89"/>
        <v>234.59383333333332</v>
      </c>
      <c r="O905" s="668">
        <f t="shared" ca="1" si="86"/>
        <v>15</v>
      </c>
      <c r="P905" s="655">
        <f t="shared" ca="1" si="87"/>
        <v>10556.7225</v>
      </c>
      <c r="Q905" s="667">
        <f t="shared" ca="1" si="90"/>
        <v>10556.7225</v>
      </c>
      <c r="R905" s="669" t="s">
        <v>1104</v>
      </c>
    </row>
    <row r="906" spans="1:18" ht="65.099999999999994" customHeight="1" x14ac:dyDescent="0.25">
      <c r="A906" s="395"/>
      <c r="B906" s="688">
        <v>44841</v>
      </c>
      <c r="C906" s="688" t="s">
        <v>2351</v>
      </c>
      <c r="D906" s="651" t="s">
        <v>1875</v>
      </c>
      <c r="E906" s="651" t="s">
        <v>1883</v>
      </c>
      <c r="F906" s="652" t="s">
        <v>1877</v>
      </c>
      <c r="G906" s="651" t="s">
        <v>1884</v>
      </c>
      <c r="H906" s="615" t="s">
        <v>4255</v>
      </c>
      <c r="I906" s="679" t="s">
        <v>4253</v>
      </c>
      <c r="J906" s="684">
        <v>14075.63</v>
      </c>
      <c r="K906" s="684">
        <v>53.642899999999997</v>
      </c>
      <c r="L906" s="655">
        <f t="shared" si="88"/>
        <v>262.39502338613312</v>
      </c>
      <c r="M906" s="628">
        <v>60</v>
      </c>
      <c r="N906" s="667">
        <f t="shared" si="89"/>
        <v>234.59383333333332</v>
      </c>
      <c r="O906" s="668">
        <f t="shared" ca="1" si="86"/>
        <v>15</v>
      </c>
      <c r="P906" s="655">
        <f t="shared" ca="1" si="87"/>
        <v>10556.7225</v>
      </c>
      <c r="Q906" s="667">
        <f t="shared" ca="1" si="90"/>
        <v>10556.7225</v>
      </c>
      <c r="R906" s="669" t="s">
        <v>1104</v>
      </c>
    </row>
    <row r="907" spans="1:18" ht="65.099999999999994" customHeight="1" x14ac:dyDescent="0.25">
      <c r="A907" s="395"/>
      <c r="B907" s="688">
        <v>44841</v>
      </c>
      <c r="C907" s="688" t="s">
        <v>2351</v>
      </c>
      <c r="D907" s="651" t="s">
        <v>1875</v>
      </c>
      <c r="E907" s="651" t="s">
        <v>1885</v>
      </c>
      <c r="F907" s="652" t="s">
        <v>1877</v>
      </c>
      <c r="G907" s="651" t="s">
        <v>1886</v>
      </c>
      <c r="H907" s="615" t="s">
        <v>4255</v>
      </c>
      <c r="I907" s="679" t="s">
        <v>4253</v>
      </c>
      <c r="J907" s="684">
        <v>14075.63</v>
      </c>
      <c r="K907" s="684">
        <v>53.642899999999997</v>
      </c>
      <c r="L907" s="655">
        <f t="shared" si="88"/>
        <v>262.39502338613312</v>
      </c>
      <c r="M907" s="628">
        <v>60</v>
      </c>
      <c r="N907" s="667">
        <f t="shared" si="89"/>
        <v>234.59383333333332</v>
      </c>
      <c r="O907" s="668">
        <f t="shared" ref="O907:O970" ca="1" si="91">IF(B907&lt;&gt;0,(ROUND((NOW()-B907)/30,0)),0)</f>
        <v>15</v>
      </c>
      <c r="P907" s="655">
        <f t="shared" ca="1" si="87"/>
        <v>10556.7225</v>
      </c>
      <c r="Q907" s="667">
        <f t="shared" ca="1" si="90"/>
        <v>10556.7225</v>
      </c>
      <c r="R907" s="669" t="s">
        <v>1104</v>
      </c>
    </row>
    <row r="908" spans="1:18" ht="65.099999999999994" customHeight="1" x14ac:dyDescent="0.25">
      <c r="A908" s="395"/>
      <c r="B908" s="688">
        <v>44841</v>
      </c>
      <c r="C908" s="688" t="s">
        <v>2351</v>
      </c>
      <c r="D908" s="651" t="s">
        <v>1875</v>
      </c>
      <c r="E908" s="651" t="s">
        <v>1887</v>
      </c>
      <c r="F908" s="652" t="s">
        <v>1877</v>
      </c>
      <c r="G908" s="651" t="s">
        <v>1888</v>
      </c>
      <c r="H908" s="615" t="s">
        <v>4255</v>
      </c>
      <c r="I908" s="679" t="s">
        <v>4253</v>
      </c>
      <c r="J908" s="684">
        <v>14075.63</v>
      </c>
      <c r="K908" s="684">
        <v>53.642899999999997</v>
      </c>
      <c r="L908" s="655">
        <f t="shared" si="88"/>
        <v>262.39502338613312</v>
      </c>
      <c r="M908" s="628">
        <v>60</v>
      </c>
      <c r="N908" s="667">
        <f t="shared" si="89"/>
        <v>234.59383333333332</v>
      </c>
      <c r="O908" s="668">
        <f t="shared" ca="1" si="91"/>
        <v>15</v>
      </c>
      <c r="P908" s="655">
        <f t="shared" ref="P908:P969" ca="1" si="92">IF(OR(J908=0,M908=0,O908=0),0,J908-(N908*O908))</f>
        <v>10556.7225</v>
      </c>
      <c r="Q908" s="667">
        <f t="shared" ca="1" si="90"/>
        <v>10556.7225</v>
      </c>
      <c r="R908" s="669" t="s">
        <v>1104</v>
      </c>
    </row>
    <row r="909" spans="1:18" ht="65.099999999999994" customHeight="1" x14ac:dyDescent="0.25">
      <c r="A909" s="395"/>
      <c r="B909" s="688">
        <v>44841</v>
      </c>
      <c r="C909" s="688" t="s">
        <v>2351</v>
      </c>
      <c r="D909" s="651" t="s">
        <v>1875</v>
      </c>
      <c r="E909" s="651" t="s">
        <v>1889</v>
      </c>
      <c r="F909" s="652" t="s">
        <v>1877</v>
      </c>
      <c r="G909" s="651" t="s">
        <v>1890</v>
      </c>
      <c r="H909" s="615" t="s">
        <v>4255</v>
      </c>
      <c r="I909" s="679" t="s">
        <v>4253</v>
      </c>
      <c r="J909" s="684">
        <v>14075.63</v>
      </c>
      <c r="K909" s="684">
        <v>53.642899999999997</v>
      </c>
      <c r="L909" s="655">
        <f t="shared" si="88"/>
        <v>262.39502338613312</v>
      </c>
      <c r="M909" s="628">
        <v>60</v>
      </c>
      <c r="N909" s="667">
        <f t="shared" si="89"/>
        <v>234.59383333333332</v>
      </c>
      <c r="O909" s="668">
        <f t="shared" ca="1" si="91"/>
        <v>15</v>
      </c>
      <c r="P909" s="655">
        <f t="shared" ca="1" si="92"/>
        <v>10556.7225</v>
      </c>
      <c r="Q909" s="667">
        <f t="shared" ca="1" si="90"/>
        <v>10556.7225</v>
      </c>
      <c r="R909" s="669" t="s">
        <v>1104</v>
      </c>
    </row>
    <row r="910" spans="1:18" ht="65.099999999999994" customHeight="1" x14ac:dyDescent="0.25">
      <c r="A910" s="395"/>
      <c r="B910" s="688">
        <v>44841</v>
      </c>
      <c r="C910" s="688" t="s">
        <v>2351</v>
      </c>
      <c r="D910" s="651" t="s">
        <v>1875</v>
      </c>
      <c r="E910" s="651" t="s">
        <v>1891</v>
      </c>
      <c r="F910" s="652" t="s">
        <v>1877</v>
      </c>
      <c r="G910" s="651" t="s">
        <v>1892</v>
      </c>
      <c r="H910" s="615" t="s">
        <v>4255</v>
      </c>
      <c r="I910" s="679" t="s">
        <v>4253</v>
      </c>
      <c r="J910" s="684">
        <v>14075.63</v>
      </c>
      <c r="K910" s="684">
        <v>53.642899999999997</v>
      </c>
      <c r="L910" s="655">
        <f t="shared" ref="L910:L973" si="93">+J910/K910</f>
        <v>262.39502338613312</v>
      </c>
      <c r="M910" s="628">
        <v>60</v>
      </c>
      <c r="N910" s="667">
        <f t="shared" si="89"/>
        <v>234.59383333333332</v>
      </c>
      <c r="O910" s="668">
        <f t="shared" ca="1" si="91"/>
        <v>15</v>
      </c>
      <c r="P910" s="655">
        <f t="shared" ca="1" si="92"/>
        <v>10556.7225</v>
      </c>
      <c r="Q910" s="667">
        <f t="shared" ca="1" si="90"/>
        <v>10556.7225</v>
      </c>
      <c r="R910" s="669" t="s">
        <v>1104</v>
      </c>
    </row>
    <row r="911" spans="1:18" ht="65.099999999999994" customHeight="1" x14ac:dyDescent="0.25">
      <c r="A911" s="395"/>
      <c r="B911" s="688">
        <v>44841</v>
      </c>
      <c r="C911" s="688" t="s">
        <v>2351</v>
      </c>
      <c r="D911" s="651" t="s">
        <v>1875</v>
      </c>
      <c r="E911" s="651" t="s">
        <v>1893</v>
      </c>
      <c r="F911" s="652" t="s">
        <v>1877</v>
      </c>
      <c r="G911" s="651" t="s">
        <v>1894</v>
      </c>
      <c r="H911" s="615" t="s">
        <v>4255</v>
      </c>
      <c r="I911" s="679" t="s">
        <v>4253</v>
      </c>
      <c r="J911" s="684">
        <v>14075.63</v>
      </c>
      <c r="K911" s="684">
        <v>53.642899999999997</v>
      </c>
      <c r="L911" s="655">
        <f t="shared" si="93"/>
        <v>262.39502338613312</v>
      </c>
      <c r="M911" s="628">
        <v>60</v>
      </c>
      <c r="N911" s="667">
        <f t="shared" si="89"/>
        <v>234.59383333333332</v>
      </c>
      <c r="O911" s="668">
        <f t="shared" ca="1" si="91"/>
        <v>15</v>
      </c>
      <c r="P911" s="655">
        <f t="shared" ca="1" si="92"/>
        <v>10556.7225</v>
      </c>
      <c r="Q911" s="667">
        <f t="shared" ca="1" si="90"/>
        <v>10556.7225</v>
      </c>
      <c r="R911" s="669" t="s">
        <v>1104</v>
      </c>
    </row>
    <row r="912" spans="1:18" ht="65.099999999999994" customHeight="1" x14ac:dyDescent="0.25">
      <c r="A912" s="395"/>
      <c r="B912" s="688">
        <v>44841</v>
      </c>
      <c r="C912" s="688" t="s">
        <v>2351</v>
      </c>
      <c r="D912" s="651" t="s">
        <v>1875</v>
      </c>
      <c r="E912" s="651" t="s">
        <v>1895</v>
      </c>
      <c r="F912" s="652" t="s">
        <v>1877</v>
      </c>
      <c r="G912" s="651" t="s">
        <v>1896</v>
      </c>
      <c r="H912" s="615" t="s">
        <v>4255</v>
      </c>
      <c r="I912" s="679" t="s">
        <v>4253</v>
      </c>
      <c r="J912" s="684">
        <v>14075.63</v>
      </c>
      <c r="K912" s="684">
        <v>53.642899999999997</v>
      </c>
      <c r="L912" s="655">
        <f t="shared" si="93"/>
        <v>262.39502338613312</v>
      </c>
      <c r="M912" s="628">
        <v>60</v>
      </c>
      <c r="N912" s="667">
        <f t="shared" si="89"/>
        <v>234.59383333333332</v>
      </c>
      <c r="O912" s="668">
        <f t="shared" ca="1" si="91"/>
        <v>15</v>
      </c>
      <c r="P912" s="655">
        <f t="shared" ca="1" si="92"/>
        <v>10556.7225</v>
      </c>
      <c r="Q912" s="667">
        <f t="shared" ca="1" si="90"/>
        <v>10556.7225</v>
      </c>
      <c r="R912" s="669" t="s">
        <v>1104</v>
      </c>
    </row>
    <row r="913" spans="1:18" ht="65.099999999999994" customHeight="1" x14ac:dyDescent="0.25">
      <c r="A913" s="395"/>
      <c r="B913" s="688">
        <v>44841</v>
      </c>
      <c r="C913" s="688" t="s">
        <v>2351</v>
      </c>
      <c r="D913" s="651" t="s">
        <v>1875</v>
      </c>
      <c r="E913" s="651" t="s">
        <v>1897</v>
      </c>
      <c r="F913" s="652" t="s">
        <v>1877</v>
      </c>
      <c r="G913" s="651" t="s">
        <v>1898</v>
      </c>
      <c r="H913" s="615" t="s">
        <v>4255</v>
      </c>
      <c r="I913" s="679" t="s">
        <v>4253</v>
      </c>
      <c r="J913" s="684">
        <v>14075.63</v>
      </c>
      <c r="K913" s="684">
        <v>53.642899999999997</v>
      </c>
      <c r="L913" s="655">
        <f t="shared" si="93"/>
        <v>262.39502338613312</v>
      </c>
      <c r="M913" s="628">
        <v>60</v>
      </c>
      <c r="N913" s="667">
        <f t="shared" si="89"/>
        <v>234.59383333333332</v>
      </c>
      <c r="O913" s="668">
        <f t="shared" ca="1" si="91"/>
        <v>15</v>
      </c>
      <c r="P913" s="655">
        <f t="shared" ca="1" si="92"/>
        <v>10556.7225</v>
      </c>
      <c r="Q913" s="667">
        <f t="shared" ca="1" si="90"/>
        <v>10556.7225</v>
      </c>
      <c r="R913" s="669" t="s">
        <v>1104</v>
      </c>
    </row>
    <row r="914" spans="1:18" ht="65.099999999999994" customHeight="1" x14ac:dyDescent="0.25">
      <c r="A914" s="395"/>
      <c r="B914" s="688">
        <v>44841</v>
      </c>
      <c r="C914" s="688" t="s">
        <v>2351</v>
      </c>
      <c r="D914" s="651" t="s">
        <v>1875</v>
      </c>
      <c r="E914" s="651" t="s">
        <v>1899</v>
      </c>
      <c r="F914" s="652" t="s">
        <v>1877</v>
      </c>
      <c r="G914" s="651" t="s">
        <v>1900</v>
      </c>
      <c r="H914" s="615" t="s">
        <v>4255</v>
      </c>
      <c r="I914" s="679" t="s">
        <v>4253</v>
      </c>
      <c r="J914" s="684">
        <v>14075.63</v>
      </c>
      <c r="K914" s="684">
        <v>53.642899999999997</v>
      </c>
      <c r="L914" s="655">
        <f t="shared" si="93"/>
        <v>262.39502338613312</v>
      </c>
      <c r="M914" s="628">
        <v>60</v>
      </c>
      <c r="N914" s="667">
        <f t="shared" ref="N914:N977" si="94">IF(AND(J914&lt;&gt;0,M914&lt;&gt;0),J914/M914,0)</f>
        <v>234.59383333333332</v>
      </c>
      <c r="O914" s="668">
        <f t="shared" ca="1" si="91"/>
        <v>15</v>
      </c>
      <c r="P914" s="655">
        <f t="shared" ca="1" si="92"/>
        <v>10556.7225</v>
      </c>
      <c r="Q914" s="667">
        <f t="shared" ca="1" si="90"/>
        <v>10556.7225</v>
      </c>
      <c r="R914" s="669" t="s">
        <v>1104</v>
      </c>
    </row>
    <row r="915" spans="1:18" ht="65.099999999999994" customHeight="1" x14ac:dyDescent="0.25">
      <c r="A915" s="395"/>
      <c r="B915" s="688">
        <v>44841</v>
      </c>
      <c r="C915" s="688" t="s">
        <v>2351</v>
      </c>
      <c r="D915" s="651" t="s">
        <v>1875</v>
      </c>
      <c r="E915" s="651" t="s">
        <v>1901</v>
      </c>
      <c r="F915" s="652" t="s">
        <v>1877</v>
      </c>
      <c r="G915" s="651" t="s">
        <v>1902</v>
      </c>
      <c r="H915" s="615" t="s">
        <v>4255</v>
      </c>
      <c r="I915" s="679" t="s">
        <v>4253</v>
      </c>
      <c r="J915" s="684">
        <v>14075.63</v>
      </c>
      <c r="K915" s="684">
        <v>53.642899999999997</v>
      </c>
      <c r="L915" s="655">
        <f t="shared" si="93"/>
        <v>262.39502338613312</v>
      </c>
      <c r="M915" s="628">
        <v>60</v>
      </c>
      <c r="N915" s="667">
        <f t="shared" si="94"/>
        <v>234.59383333333332</v>
      </c>
      <c r="O915" s="668">
        <f t="shared" ca="1" si="91"/>
        <v>15</v>
      </c>
      <c r="P915" s="655">
        <f t="shared" ca="1" si="92"/>
        <v>10556.7225</v>
      </c>
      <c r="Q915" s="667">
        <f t="shared" ca="1" si="90"/>
        <v>10556.7225</v>
      </c>
      <c r="R915" s="669" t="s">
        <v>1104</v>
      </c>
    </row>
    <row r="916" spans="1:18" ht="65.099999999999994" customHeight="1" x14ac:dyDescent="0.25">
      <c r="A916" s="395"/>
      <c r="B916" s="688">
        <v>44841</v>
      </c>
      <c r="C916" s="688" t="s">
        <v>2351</v>
      </c>
      <c r="D916" s="651" t="s">
        <v>1875</v>
      </c>
      <c r="E916" s="651" t="s">
        <v>1903</v>
      </c>
      <c r="F916" s="652" t="s">
        <v>1877</v>
      </c>
      <c r="G916" s="651" t="s">
        <v>1904</v>
      </c>
      <c r="H916" s="615" t="s">
        <v>4255</v>
      </c>
      <c r="I916" s="679" t="s">
        <v>4253</v>
      </c>
      <c r="J916" s="684">
        <v>14075.63</v>
      </c>
      <c r="K916" s="684">
        <v>53.642899999999997</v>
      </c>
      <c r="L916" s="655">
        <f t="shared" si="93"/>
        <v>262.39502338613312</v>
      </c>
      <c r="M916" s="628">
        <v>60</v>
      </c>
      <c r="N916" s="667">
        <f t="shared" si="94"/>
        <v>234.59383333333332</v>
      </c>
      <c r="O916" s="668">
        <f t="shared" ca="1" si="91"/>
        <v>15</v>
      </c>
      <c r="P916" s="655">
        <f t="shared" ca="1" si="92"/>
        <v>10556.7225</v>
      </c>
      <c r="Q916" s="667">
        <f t="shared" ca="1" si="90"/>
        <v>10556.7225</v>
      </c>
      <c r="R916" s="669" t="s">
        <v>1104</v>
      </c>
    </row>
    <row r="917" spans="1:18" ht="65.099999999999994" customHeight="1" x14ac:dyDescent="0.25">
      <c r="A917" s="395"/>
      <c r="B917" s="688">
        <v>44841</v>
      </c>
      <c r="C917" s="688" t="s">
        <v>2351</v>
      </c>
      <c r="D917" s="651" t="s">
        <v>1875</v>
      </c>
      <c r="E917" s="651" t="s">
        <v>1905</v>
      </c>
      <c r="F917" s="652" t="s">
        <v>1877</v>
      </c>
      <c r="G917" s="651" t="s">
        <v>1906</v>
      </c>
      <c r="H917" s="615" t="s">
        <v>4255</v>
      </c>
      <c r="I917" s="679" t="s">
        <v>4253</v>
      </c>
      <c r="J917" s="684">
        <v>14075.63</v>
      </c>
      <c r="K917" s="684">
        <v>53.642899999999997</v>
      </c>
      <c r="L917" s="655">
        <f t="shared" si="93"/>
        <v>262.39502338613312</v>
      </c>
      <c r="M917" s="628">
        <v>60</v>
      </c>
      <c r="N917" s="667">
        <f t="shared" si="94"/>
        <v>234.59383333333332</v>
      </c>
      <c r="O917" s="668">
        <f t="shared" ca="1" si="91"/>
        <v>15</v>
      </c>
      <c r="P917" s="655">
        <f t="shared" ca="1" si="92"/>
        <v>10556.7225</v>
      </c>
      <c r="Q917" s="667">
        <f t="shared" ca="1" si="90"/>
        <v>10556.7225</v>
      </c>
      <c r="R917" s="669" t="s">
        <v>1104</v>
      </c>
    </row>
    <row r="918" spans="1:18" ht="65.099999999999994" customHeight="1" x14ac:dyDescent="0.25">
      <c r="A918" s="395"/>
      <c r="B918" s="688">
        <v>44841</v>
      </c>
      <c r="C918" s="688" t="s">
        <v>2351</v>
      </c>
      <c r="D918" s="651" t="s">
        <v>1875</v>
      </c>
      <c r="E918" s="651" t="s">
        <v>1907</v>
      </c>
      <c r="F918" s="652" t="s">
        <v>1877</v>
      </c>
      <c r="G918" s="651" t="s">
        <v>1908</v>
      </c>
      <c r="H918" s="615" t="s">
        <v>4255</v>
      </c>
      <c r="I918" s="679" t="s">
        <v>4253</v>
      </c>
      <c r="J918" s="684">
        <v>14075.63</v>
      </c>
      <c r="K918" s="684">
        <v>53.642899999999997</v>
      </c>
      <c r="L918" s="655">
        <f t="shared" si="93"/>
        <v>262.39502338613312</v>
      </c>
      <c r="M918" s="628">
        <v>60</v>
      </c>
      <c r="N918" s="667">
        <f t="shared" si="94"/>
        <v>234.59383333333332</v>
      </c>
      <c r="O918" s="668">
        <f t="shared" ca="1" si="91"/>
        <v>15</v>
      </c>
      <c r="P918" s="655">
        <f t="shared" ca="1" si="92"/>
        <v>10556.7225</v>
      </c>
      <c r="Q918" s="667">
        <f t="shared" ca="1" si="90"/>
        <v>10556.7225</v>
      </c>
      <c r="R918" s="669" t="s">
        <v>1104</v>
      </c>
    </row>
    <row r="919" spans="1:18" ht="65.099999999999994" customHeight="1" x14ac:dyDescent="0.25">
      <c r="A919" s="395"/>
      <c r="B919" s="688">
        <v>44841</v>
      </c>
      <c r="C919" s="688" t="s">
        <v>2351</v>
      </c>
      <c r="D919" s="651" t="s">
        <v>1875</v>
      </c>
      <c r="E919" s="651" t="s">
        <v>1909</v>
      </c>
      <c r="F919" s="652" t="s">
        <v>1877</v>
      </c>
      <c r="G919" s="651" t="s">
        <v>1910</v>
      </c>
      <c r="H919" s="615" t="s">
        <v>4255</v>
      </c>
      <c r="I919" s="679" t="s">
        <v>4253</v>
      </c>
      <c r="J919" s="684">
        <v>14075.63</v>
      </c>
      <c r="K919" s="684">
        <v>53.642899999999997</v>
      </c>
      <c r="L919" s="655">
        <f t="shared" si="93"/>
        <v>262.39502338613312</v>
      </c>
      <c r="M919" s="628">
        <v>60</v>
      </c>
      <c r="N919" s="667">
        <f t="shared" si="94"/>
        <v>234.59383333333332</v>
      </c>
      <c r="O919" s="668">
        <f t="shared" ca="1" si="91"/>
        <v>15</v>
      </c>
      <c r="P919" s="655">
        <f t="shared" ca="1" si="92"/>
        <v>10556.7225</v>
      </c>
      <c r="Q919" s="667">
        <f t="shared" ca="1" si="90"/>
        <v>10556.7225</v>
      </c>
      <c r="R919" s="669" t="s">
        <v>1104</v>
      </c>
    </row>
    <row r="920" spans="1:18" ht="65.099999999999994" customHeight="1" x14ac:dyDescent="0.25">
      <c r="A920" s="395"/>
      <c r="B920" s="688">
        <v>44841</v>
      </c>
      <c r="C920" s="688" t="s">
        <v>2351</v>
      </c>
      <c r="D920" s="651" t="s">
        <v>1875</v>
      </c>
      <c r="E920" s="651" t="s">
        <v>1911</v>
      </c>
      <c r="F920" s="652" t="s">
        <v>1877</v>
      </c>
      <c r="G920" s="651" t="s">
        <v>1912</v>
      </c>
      <c r="H920" s="615" t="s">
        <v>4255</v>
      </c>
      <c r="I920" s="679" t="s">
        <v>4253</v>
      </c>
      <c r="J920" s="684">
        <v>14075.63</v>
      </c>
      <c r="K920" s="684">
        <v>53.642899999999997</v>
      </c>
      <c r="L920" s="655">
        <f t="shared" si="93"/>
        <v>262.39502338613312</v>
      </c>
      <c r="M920" s="628">
        <v>60</v>
      </c>
      <c r="N920" s="667">
        <f t="shared" si="94"/>
        <v>234.59383333333332</v>
      </c>
      <c r="O920" s="668">
        <f t="shared" ca="1" si="91"/>
        <v>15</v>
      </c>
      <c r="P920" s="655">
        <f t="shared" ca="1" si="92"/>
        <v>10556.7225</v>
      </c>
      <c r="Q920" s="667">
        <f t="shared" ca="1" si="90"/>
        <v>10556.7225</v>
      </c>
      <c r="R920" s="669" t="s">
        <v>1104</v>
      </c>
    </row>
    <row r="921" spans="1:18" ht="65.099999999999994" customHeight="1" x14ac:dyDescent="0.25">
      <c r="A921" s="395"/>
      <c r="B921" s="688">
        <v>44841</v>
      </c>
      <c r="C921" s="688" t="s">
        <v>2351</v>
      </c>
      <c r="D921" s="651" t="s">
        <v>1875</v>
      </c>
      <c r="E921" s="651" t="s">
        <v>1913</v>
      </c>
      <c r="F921" s="652" t="s">
        <v>1877</v>
      </c>
      <c r="G921" s="651" t="s">
        <v>1914</v>
      </c>
      <c r="H921" s="615" t="s">
        <v>4255</v>
      </c>
      <c r="I921" s="679" t="s">
        <v>4253</v>
      </c>
      <c r="J921" s="684">
        <v>14075.63</v>
      </c>
      <c r="K921" s="684">
        <v>53.642899999999997</v>
      </c>
      <c r="L921" s="655">
        <f t="shared" si="93"/>
        <v>262.39502338613312</v>
      </c>
      <c r="M921" s="628">
        <v>60</v>
      </c>
      <c r="N921" s="667">
        <f t="shared" si="94"/>
        <v>234.59383333333332</v>
      </c>
      <c r="O921" s="668">
        <f t="shared" ca="1" si="91"/>
        <v>15</v>
      </c>
      <c r="P921" s="655">
        <f t="shared" ca="1" si="92"/>
        <v>10556.7225</v>
      </c>
      <c r="Q921" s="667">
        <f t="shared" ca="1" si="90"/>
        <v>10556.7225</v>
      </c>
      <c r="R921" s="669" t="s">
        <v>1104</v>
      </c>
    </row>
    <row r="922" spans="1:18" ht="65.099999999999994" customHeight="1" x14ac:dyDescent="0.25">
      <c r="B922" s="688">
        <v>44841</v>
      </c>
      <c r="C922" s="688" t="s">
        <v>2351</v>
      </c>
      <c r="D922" s="651" t="s">
        <v>1875</v>
      </c>
      <c r="E922" s="651" t="s">
        <v>1915</v>
      </c>
      <c r="F922" s="652" t="s">
        <v>1916</v>
      </c>
      <c r="G922" s="651" t="s">
        <v>1917</v>
      </c>
      <c r="H922" s="651" t="s">
        <v>1798</v>
      </c>
      <c r="I922" s="679" t="s">
        <v>1596</v>
      </c>
      <c r="J922" s="684">
        <v>21931.99</v>
      </c>
      <c r="K922" s="684">
        <v>53.642899999999997</v>
      </c>
      <c r="L922" s="655">
        <f t="shared" si="93"/>
        <v>408.85168400664401</v>
      </c>
      <c r="M922" s="628">
        <v>60</v>
      </c>
      <c r="N922" s="667">
        <f t="shared" si="94"/>
        <v>365.53316666666672</v>
      </c>
      <c r="O922" s="668">
        <f t="shared" ca="1" si="91"/>
        <v>15</v>
      </c>
      <c r="P922" s="655">
        <f t="shared" ca="1" si="92"/>
        <v>16448.9925</v>
      </c>
      <c r="Q922" s="667">
        <f t="shared" ca="1" si="90"/>
        <v>16448.9925</v>
      </c>
      <c r="R922" s="669" t="s">
        <v>1104</v>
      </c>
    </row>
    <row r="923" spans="1:18" ht="65.099999999999994" customHeight="1" x14ac:dyDescent="0.25">
      <c r="B923" s="688">
        <v>44841</v>
      </c>
      <c r="C923" s="688" t="s">
        <v>2351</v>
      </c>
      <c r="D923" s="651" t="s">
        <v>1875</v>
      </c>
      <c r="E923" s="651" t="s">
        <v>1918</v>
      </c>
      <c r="F923" s="652" t="s">
        <v>1916</v>
      </c>
      <c r="G923" s="651" t="s">
        <v>1919</v>
      </c>
      <c r="H923" s="651" t="s">
        <v>1798</v>
      </c>
      <c r="I923" s="679" t="s">
        <v>1596</v>
      </c>
      <c r="J923" s="684">
        <v>21931.99</v>
      </c>
      <c r="K923" s="684">
        <v>53.642899999999997</v>
      </c>
      <c r="L923" s="655">
        <f t="shared" si="93"/>
        <v>408.85168400664401</v>
      </c>
      <c r="M923" s="628">
        <v>60</v>
      </c>
      <c r="N923" s="667">
        <f t="shared" si="94"/>
        <v>365.53316666666672</v>
      </c>
      <c r="O923" s="668">
        <f t="shared" ca="1" si="91"/>
        <v>15</v>
      </c>
      <c r="P923" s="655">
        <f t="shared" ca="1" si="92"/>
        <v>16448.9925</v>
      </c>
      <c r="Q923" s="667">
        <f t="shared" ca="1" si="90"/>
        <v>16448.9925</v>
      </c>
      <c r="R923" s="669" t="s">
        <v>1104</v>
      </c>
    </row>
    <row r="924" spans="1:18" ht="65.099999999999994" customHeight="1" x14ac:dyDescent="0.25">
      <c r="B924" s="688">
        <v>44841</v>
      </c>
      <c r="C924" s="688" t="s">
        <v>2351</v>
      </c>
      <c r="D924" s="651" t="s">
        <v>1875</v>
      </c>
      <c r="E924" s="651" t="s">
        <v>1920</v>
      </c>
      <c r="F924" s="652" t="s">
        <v>1916</v>
      </c>
      <c r="G924" s="651" t="s">
        <v>1921</v>
      </c>
      <c r="H924" s="651" t="s">
        <v>1798</v>
      </c>
      <c r="I924" s="679" t="s">
        <v>1596</v>
      </c>
      <c r="J924" s="684">
        <v>21932</v>
      </c>
      <c r="K924" s="684">
        <v>53.642899999999997</v>
      </c>
      <c r="L924" s="655">
        <f t="shared" si="93"/>
        <v>408.85187042460421</v>
      </c>
      <c r="M924" s="628">
        <v>60</v>
      </c>
      <c r="N924" s="667">
        <f t="shared" si="94"/>
        <v>365.53333333333336</v>
      </c>
      <c r="O924" s="668">
        <f t="shared" ca="1" si="91"/>
        <v>15</v>
      </c>
      <c r="P924" s="655">
        <f t="shared" ca="1" si="92"/>
        <v>16449</v>
      </c>
      <c r="Q924" s="667">
        <f t="shared" ca="1" si="90"/>
        <v>16449</v>
      </c>
      <c r="R924" s="669" t="s">
        <v>1104</v>
      </c>
    </row>
    <row r="925" spans="1:18" ht="65.099999999999994" customHeight="1" x14ac:dyDescent="0.25">
      <c r="B925" s="688">
        <v>44841</v>
      </c>
      <c r="C925" s="688" t="s">
        <v>2351</v>
      </c>
      <c r="D925" s="651" t="s">
        <v>1875</v>
      </c>
      <c r="E925" s="651" t="s">
        <v>1922</v>
      </c>
      <c r="F925" s="652" t="s">
        <v>1916</v>
      </c>
      <c r="G925" s="651" t="s">
        <v>1923</v>
      </c>
      <c r="H925" s="651" t="s">
        <v>1798</v>
      </c>
      <c r="I925" s="679" t="s">
        <v>1596</v>
      </c>
      <c r="J925" s="684">
        <v>21932</v>
      </c>
      <c r="K925" s="684">
        <v>53.642899999999997</v>
      </c>
      <c r="L925" s="655">
        <f t="shared" si="93"/>
        <v>408.85187042460421</v>
      </c>
      <c r="M925" s="628">
        <v>60</v>
      </c>
      <c r="N925" s="667">
        <f t="shared" si="94"/>
        <v>365.53333333333336</v>
      </c>
      <c r="O925" s="668">
        <f t="shared" ca="1" si="91"/>
        <v>15</v>
      </c>
      <c r="P925" s="655">
        <f t="shared" ca="1" si="92"/>
        <v>16449</v>
      </c>
      <c r="Q925" s="667">
        <f t="shared" ca="1" si="90"/>
        <v>16449</v>
      </c>
      <c r="R925" s="669" t="s">
        <v>1104</v>
      </c>
    </row>
    <row r="926" spans="1:18" ht="65.099999999999994" customHeight="1" x14ac:dyDescent="0.25">
      <c r="B926" s="688">
        <v>44841</v>
      </c>
      <c r="C926" s="688" t="s">
        <v>2351</v>
      </c>
      <c r="D926" s="651" t="s">
        <v>1875</v>
      </c>
      <c r="E926" s="651" t="s">
        <v>1924</v>
      </c>
      <c r="F926" s="652" t="s">
        <v>1916</v>
      </c>
      <c r="G926" s="651" t="s">
        <v>1925</v>
      </c>
      <c r="H926" s="651" t="s">
        <v>1798</v>
      </c>
      <c r="I926" s="679" t="s">
        <v>1596</v>
      </c>
      <c r="J926" s="684">
        <v>21932</v>
      </c>
      <c r="K926" s="684">
        <v>53.642899999999997</v>
      </c>
      <c r="L926" s="655">
        <f t="shared" si="93"/>
        <v>408.85187042460421</v>
      </c>
      <c r="M926" s="628">
        <v>60</v>
      </c>
      <c r="N926" s="667">
        <f t="shared" si="94"/>
        <v>365.53333333333336</v>
      </c>
      <c r="O926" s="668">
        <f t="shared" ca="1" si="91"/>
        <v>15</v>
      </c>
      <c r="P926" s="655">
        <f t="shared" ca="1" si="92"/>
        <v>16449</v>
      </c>
      <c r="Q926" s="667">
        <f t="shared" ca="1" si="90"/>
        <v>16449</v>
      </c>
      <c r="R926" s="669" t="s">
        <v>1104</v>
      </c>
    </row>
    <row r="927" spans="1:18" ht="65.099999999999994" customHeight="1" x14ac:dyDescent="0.25">
      <c r="B927" s="688">
        <v>44841</v>
      </c>
      <c r="C927" s="688" t="s">
        <v>2351</v>
      </c>
      <c r="D927" s="651" t="s">
        <v>1875</v>
      </c>
      <c r="E927" s="651" t="s">
        <v>1926</v>
      </c>
      <c r="F927" s="652" t="s">
        <v>1916</v>
      </c>
      <c r="G927" s="651" t="s">
        <v>1927</v>
      </c>
      <c r="H927" s="651" t="s">
        <v>1798</v>
      </c>
      <c r="I927" s="679" t="s">
        <v>1596</v>
      </c>
      <c r="J927" s="684">
        <v>21932</v>
      </c>
      <c r="K927" s="684">
        <v>53.642899999999997</v>
      </c>
      <c r="L927" s="655">
        <f t="shared" si="93"/>
        <v>408.85187042460421</v>
      </c>
      <c r="M927" s="628">
        <v>60</v>
      </c>
      <c r="N927" s="667">
        <f t="shared" si="94"/>
        <v>365.53333333333336</v>
      </c>
      <c r="O927" s="668">
        <f t="shared" ca="1" si="91"/>
        <v>15</v>
      </c>
      <c r="P927" s="655">
        <f t="shared" ca="1" si="92"/>
        <v>16449</v>
      </c>
      <c r="Q927" s="667">
        <f t="shared" ca="1" si="90"/>
        <v>16449</v>
      </c>
      <c r="R927" s="669" t="s">
        <v>1104</v>
      </c>
    </row>
    <row r="928" spans="1:18" ht="65.099999999999994" customHeight="1" x14ac:dyDescent="0.25">
      <c r="B928" s="688">
        <v>44841</v>
      </c>
      <c r="C928" s="688" t="s">
        <v>2351</v>
      </c>
      <c r="D928" s="651" t="s">
        <v>1875</v>
      </c>
      <c r="E928" s="651" t="s">
        <v>1928</v>
      </c>
      <c r="F928" s="652" t="s">
        <v>1916</v>
      </c>
      <c r="G928" s="651" t="s">
        <v>1929</v>
      </c>
      <c r="H928" s="651" t="s">
        <v>1798</v>
      </c>
      <c r="I928" s="679" t="s">
        <v>1596</v>
      </c>
      <c r="J928" s="684">
        <v>21932</v>
      </c>
      <c r="K928" s="684">
        <v>53.642899999999997</v>
      </c>
      <c r="L928" s="655">
        <f t="shared" si="93"/>
        <v>408.85187042460421</v>
      </c>
      <c r="M928" s="628">
        <v>60</v>
      </c>
      <c r="N928" s="667">
        <f t="shared" si="94"/>
        <v>365.53333333333336</v>
      </c>
      <c r="O928" s="668">
        <f t="shared" ca="1" si="91"/>
        <v>15</v>
      </c>
      <c r="P928" s="655">
        <f t="shared" ca="1" si="92"/>
        <v>16449</v>
      </c>
      <c r="Q928" s="667">
        <f t="shared" ca="1" si="90"/>
        <v>16449</v>
      </c>
      <c r="R928" s="669" t="s">
        <v>1104</v>
      </c>
    </row>
    <row r="929" spans="2:18" ht="65.099999999999994" customHeight="1" x14ac:dyDescent="0.25">
      <c r="B929" s="688">
        <v>44841</v>
      </c>
      <c r="C929" s="688" t="s">
        <v>2351</v>
      </c>
      <c r="D929" s="651" t="s">
        <v>1875</v>
      </c>
      <c r="E929" s="651" t="s">
        <v>1930</v>
      </c>
      <c r="F929" s="652" t="s">
        <v>1916</v>
      </c>
      <c r="G929" s="651" t="s">
        <v>1931</v>
      </c>
      <c r="H929" s="651" t="s">
        <v>1798</v>
      </c>
      <c r="I929" s="679" t="s">
        <v>1596</v>
      </c>
      <c r="J929" s="684">
        <v>21932</v>
      </c>
      <c r="K929" s="684">
        <v>53.642899999999997</v>
      </c>
      <c r="L929" s="655">
        <f t="shared" si="93"/>
        <v>408.85187042460421</v>
      </c>
      <c r="M929" s="628">
        <v>60</v>
      </c>
      <c r="N929" s="667">
        <f t="shared" si="94"/>
        <v>365.53333333333336</v>
      </c>
      <c r="O929" s="668">
        <f t="shared" ca="1" si="91"/>
        <v>15</v>
      </c>
      <c r="P929" s="655">
        <f t="shared" ca="1" si="92"/>
        <v>16449</v>
      </c>
      <c r="Q929" s="667">
        <f t="shared" ca="1" si="90"/>
        <v>16449</v>
      </c>
      <c r="R929" s="669" t="s">
        <v>1104</v>
      </c>
    </row>
    <row r="930" spans="2:18" ht="65.099999999999994" customHeight="1" x14ac:dyDescent="0.25">
      <c r="B930" s="688">
        <v>44841</v>
      </c>
      <c r="C930" s="688" t="s">
        <v>2351</v>
      </c>
      <c r="D930" s="651" t="s">
        <v>1875</v>
      </c>
      <c r="E930" s="651" t="s">
        <v>1932</v>
      </c>
      <c r="F930" s="652" t="s">
        <v>1916</v>
      </c>
      <c r="G930" s="651" t="s">
        <v>1933</v>
      </c>
      <c r="H930" s="651" t="s">
        <v>1798</v>
      </c>
      <c r="I930" s="679" t="s">
        <v>1596</v>
      </c>
      <c r="J930" s="684">
        <v>21932</v>
      </c>
      <c r="K930" s="684">
        <v>53.642899999999997</v>
      </c>
      <c r="L930" s="655">
        <f t="shared" si="93"/>
        <v>408.85187042460421</v>
      </c>
      <c r="M930" s="628">
        <v>60</v>
      </c>
      <c r="N930" s="667">
        <f t="shared" si="94"/>
        <v>365.53333333333336</v>
      </c>
      <c r="O930" s="668">
        <f t="shared" ca="1" si="91"/>
        <v>15</v>
      </c>
      <c r="P930" s="655">
        <f t="shared" ca="1" si="92"/>
        <v>16449</v>
      </c>
      <c r="Q930" s="667">
        <f t="shared" ca="1" si="90"/>
        <v>16449</v>
      </c>
      <c r="R930" s="669" t="s">
        <v>1104</v>
      </c>
    </row>
    <row r="931" spans="2:18" ht="65.099999999999994" customHeight="1" x14ac:dyDescent="0.25">
      <c r="B931" s="688">
        <v>44841</v>
      </c>
      <c r="C931" s="688" t="s">
        <v>2351</v>
      </c>
      <c r="D931" s="651" t="s">
        <v>1875</v>
      </c>
      <c r="E931" s="651" t="s">
        <v>1934</v>
      </c>
      <c r="F931" s="652" t="s">
        <v>1916</v>
      </c>
      <c r="G931" s="651" t="s">
        <v>1935</v>
      </c>
      <c r="H931" s="651" t="s">
        <v>1798</v>
      </c>
      <c r="I931" s="679" t="s">
        <v>1596</v>
      </c>
      <c r="J931" s="684">
        <v>21932</v>
      </c>
      <c r="K931" s="684">
        <v>53.642899999999997</v>
      </c>
      <c r="L931" s="655">
        <f t="shared" si="93"/>
        <v>408.85187042460421</v>
      </c>
      <c r="M931" s="628">
        <v>60</v>
      </c>
      <c r="N931" s="667">
        <f t="shared" si="94"/>
        <v>365.53333333333336</v>
      </c>
      <c r="O931" s="668">
        <f t="shared" ca="1" si="91"/>
        <v>15</v>
      </c>
      <c r="P931" s="655">
        <f t="shared" ca="1" si="92"/>
        <v>16449</v>
      </c>
      <c r="Q931" s="667">
        <f t="shared" ca="1" si="90"/>
        <v>16449</v>
      </c>
      <c r="R931" s="669" t="s">
        <v>1104</v>
      </c>
    </row>
    <row r="932" spans="2:18" ht="65.099999999999994" customHeight="1" x14ac:dyDescent="0.25">
      <c r="B932" s="688">
        <v>44841</v>
      </c>
      <c r="C932" s="688" t="s">
        <v>2351</v>
      </c>
      <c r="D932" s="651" t="s">
        <v>1875</v>
      </c>
      <c r="E932" s="651" t="s">
        <v>1936</v>
      </c>
      <c r="F932" s="652" t="s">
        <v>1916</v>
      </c>
      <c r="G932" s="651" t="s">
        <v>1937</v>
      </c>
      <c r="H932" s="651" t="s">
        <v>1798</v>
      </c>
      <c r="I932" s="679" t="s">
        <v>1596</v>
      </c>
      <c r="J932" s="684">
        <v>21932</v>
      </c>
      <c r="K932" s="684">
        <v>53.642899999999997</v>
      </c>
      <c r="L932" s="655">
        <f t="shared" si="93"/>
        <v>408.85187042460421</v>
      </c>
      <c r="M932" s="628">
        <v>60</v>
      </c>
      <c r="N932" s="667">
        <f t="shared" si="94"/>
        <v>365.53333333333336</v>
      </c>
      <c r="O932" s="668">
        <f t="shared" ca="1" si="91"/>
        <v>15</v>
      </c>
      <c r="P932" s="655">
        <f t="shared" ca="1" si="92"/>
        <v>16449</v>
      </c>
      <c r="Q932" s="667">
        <f t="shared" ca="1" si="90"/>
        <v>16449</v>
      </c>
      <c r="R932" s="669" t="s">
        <v>1104</v>
      </c>
    </row>
    <row r="933" spans="2:18" ht="65.099999999999994" customHeight="1" x14ac:dyDescent="0.25">
      <c r="B933" s="688">
        <v>44841</v>
      </c>
      <c r="C933" s="688" t="s">
        <v>2351</v>
      </c>
      <c r="D933" s="651" t="s">
        <v>1875</v>
      </c>
      <c r="E933" s="651" t="s">
        <v>1938</v>
      </c>
      <c r="F933" s="652" t="s">
        <v>1916</v>
      </c>
      <c r="G933" s="651" t="s">
        <v>1939</v>
      </c>
      <c r="H933" s="651" t="s">
        <v>1798</v>
      </c>
      <c r="I933" s="679" t="s">
        <v>1596</v>
      </c>
      <c r="J933" s="684">
        <v>21932</v>
      </c>
      <c r="K933" s="684">
        <v>53.642899999999997</v>
      </c>
      <c r="L933" s="655">
        <f t="shared" si="93"/>
        <v>408.85187042460421</v>
      </c>
      <c r="M933" s="628">
        <v>60</v>
      </c>
      <c r="N933" s="667">
        <f t="shared" si="94"/>
        <v>365.53333333333336</v>
      </c>
      <c r="O933" s="668">
        <f t="shared" ca="1" si="91"/>
        <v>15</v>
      </c>
      <c r="P933" s="655">
        <f t="shared" ca="1" si="92"/>
        <v>16449</v>
      </c>
      <c r="Q933" s="667">
        <f t="shared" ca="1" si="90"/>
        <v>16449</v>
      </c>
      <c r="R933" s="669" t="s">
        <v>1104</v>
      </c>
    </row>
    <row r="934" spans="2:18" ht="65.099999999999994" customHeight="1" x14ac:dyDescent="0.25">
      <c r="B934" s="688">
        <v>44841</v>
      </c>
      <c r="C934" s="688" t="s">
        <v>2351</v>
      </c>
      <c r="D934" s="651" t="s">
        <v>1875</v>
      </c>
      <c r="E934" s="651" t="s">
        <v>1940</v>
      </c>
      <c r="F934" s="652" t="s">
        <v>1916</v>
      </c>
      <c r="G934" s="651" t="s">
        <v>1941</v>
      </c>
      <c r="H934" s="651" t="s">
        <v>1798</v>
      </c>
      <c r="I934" s="679" t="s">
        <v>1596</v>
      </c>
      <c r="J934" s="684">
        <v>21932</v>
      </c>
      <c r="K934" s="684">
        <v>53.642899999999997</v>
      </c>
      <c r="L934" s="655">
        <f t="shared" si="93"/>
        <v>408.85187042460421</v>
      </c>
      <c r="M934" s="628">
        <v>60</v>
      </c>
      <c r="N934" s="667">
        <f t="shared" si="94"/>
        <v>365.53333333333336</v>
      </c>
      <c r="O934" s="668">
        <f t="shared" ca="1" si="91"/>
        <v>15</v>
      </c>
      <c r="P934" s="655">
        <f t="shared" ca="1" si="92"/>
        <v>16449</v>
      </c>
      <c r="Q934" s="667">
        <f t="shared" ca="1" si="90"/>
        <v>16449</v>
      </c>
      <c r="R934" s="669" t="s">
        <v>1104</v>
      </c>
    </row>
    <row r="935" spans="2:18" ht="65.099999999999994" customHeight="1" x14ac:dyDescent="0.25">
      <c r="B935" s="688">
        <v>44841</v>
      </c>
      <c r="C935" s="688" t="s">
        <v>2351</v>
      </c>
      <c r="D935" s="651" t="s">
        <v>1875</v>
      </c>
      <c r="E935" s="651" t="s">
        <v>1942</v>
      </c>
      <c r="F935" s="652" t="s">
        <v>1916</v>
      </c>
      <c r="G935" s="651" t="s">
        <v>1943</v>
      </c>
      <c r="H935" s="651" t="s">
        <v>1798</v>
      </c>
      <c r="I935" s="679" t="s">
        <v>1596</v>
      </c>
      <c r="J935" s="684">
        <v>21932</v>
      </c>
      <c r="K935" s="684">
        <v>53.642899999999997</v>
      </c>
      <c r="L935" s="655">
        <f t="shared" si="93"/>
        <v>408.85187042460421</v>
      </c>
      <c r="M935" s="628">
        <v>60</v>
      </c>
      <c r="N935" s="667">
        <f t="shared" si="94"/>
        <v>365.53333333333336</v>
      </c>
      <c r="O935" s="668">
        <f t="shared" ca="1" si="91"/>
        <v>15</v>
      </c>
      <c r="P935" s="655">
        <f t="shared" ca="1" si="92"/>
        <v>16449</v>
      </c>
      <c r="Q935" s="667">
        <f t="shared" ca="1" si="90"/>
        <v>16449</v>
      </c>
      <c r="R935" s="669" t="s">
        <v>1104</v>
      </c>
    </row>
    <row r="936" spans="2:18" ht="65.099999999999994" customHeight="1" x14ac:dyDescent="0.25">
      <c r="B936" s="688">
        <v>44841</v>
      </c>
      <c r="C936" s="688" t="s">
        <v>2351</v>
      </c>
      <c r="D936" s="651" t="s">
        <v>1875</v>
      </c>
      <c r="E936" s="651" t="s">
        <v>1944</v>
      </c>
      <c r="F936" s="652" t="s">
        <v>1916</v>
      </c>
      <c r="G936" s="651" t="s">
        <v>1945</v>
      </c>
      <c r="H936" s="651" t="s">
        <v>1798</v>
      </c>
      <c r="I936" s="679" t="s">
        <v>1596</v>
      </c>
      <c r="J936" s="684">
        <v>21932</v>
      </c>
      <c r="K936" s="684">
        <v>53.642899999999997</v>
      </c>
      <c r="L936" s="655">
        <f t="shared" si="93"/>
        <v>408.85187042460421</v>
      </c>
      <c r="M936" s="628">
        <v>60</v>
      </c>
      <c r="N936" s="667">
        <f t="shared" si="94"/>
        <v>365.53333333333336</v>
      </c>
      <c r="O936" s="668">
        <f t="shared" ca="1" si="91"/>
        <v>15</v>
      </c>
      <c r="P936" s="655">
        <f t="shared" ca="1" si="92"/>
        <v>16449</v>
      </c>
      <c r="Q936" s="667">
        <f t="shared" ca="1" si="90"/>
        <v>16449</v>
      </c>
      <c r="R936" s="669" t="s">
        <v>1104</v>
      </c>
    </row>
    <row r="937" spans="2:18" ht="65.099999999999994" customHeight="1" x14ac:dyDescent="0.25">
      <c r="B937" s="688">
        <v>44841</v>
      </c>
      <c r="C937" s="688" t="s">
        <v>2351</v>
      </c>
      <c r="D937" s="651" t="s">
        <v>1875</v>
      </c>
      <c r="E937" s="651" t="s">
        <v>1946</v>
      </c>
      <c r="F937" s="652" t="s">
        <v>1916</v>
      </c>
      <c r="G937" s="651" t="s">
        <v>1947</v>
      </c>
      <c r="H937" s="651" t="s">
        <v>1798</v>
      </c>
      <c r="I937" s="679" t="s">
        <v>1596</v>
      </c>
      <c r="J937" s="684">
        <v>21932</v>
      </c>
      <c r="K937" s="684">
        <v>53.642899999999997</v>
      </c>
      <c r="L937" s="655">
        <f t="shared" si="93"/>
        <v>408.85187042460421</v>
      </c>
      <c r="M937" s="628">
        <v>60</v>
      </c>
      <c r="N937" s="667">
        <f t="shared" si="94"/>
        <v>365.53333333333336</v>
      </c>
      <c r="O937" s="668">
        <f t="shared" ca="1" si="91"/>
        <v>15</v>
      </c>
      <c r="P937" s="655">
        <f t="shared" ca="1" si="92"/>
        <v>16449</v>
      </c>
      <c r="Q937" s="667">
        <f t="shared" ca="1" si="90"/>
        <v>16449</v>
      </c>
      <c r="R937" s="669" t="s">
        <v>1104</v>
      </c>
    </row>
    <row r="938" spans="2:18" ht="65.099999999999994" customHeight="1" x14ac:dyDescent="0.25">
      <c r="B938" s="688">
        <v>44841</v>
      </c>
      <c r="C938" s="688" t="s">
        <v>2351</v>
      </c>
      <c r="D938" s="651" t="s">
        <v>1875</v>
      </c>
      <c r="E938" s="651" t="s">
        <v>1948</v>
      </c>
      <c r="F938" s="652" t="s">
        <v>1916</v>
      </c>
      <c r="G938" s="651" t="s">
        <v>1949</v>
      </c>
      <c r="H938" s="651" t="s">
        <v>1798</v>
      </c>
      <c r="I938" s="679" t="s">
        <v>1596</v>
      </c>
      <c r="J938" s="684">
        <v>21932</v>
      </c>
      <c r="K938" s="684">
        <v>53.642899999999997</v>
      </c>
      <c r="L938" s="655">
        <f t="shared" si="93"/>
        <v>408.85187042460421</v>
      </c>
      <c r="M938" s="628">
        <v>60</v>
      </c>
      <c r="N938" s="667">
        <f t="shared" si="94"/>
        <v>365.53333333333336</v>
      </c>
      <c r="O938" s="668">
        <f t="shared" ca="1" si="91"/>
        <v>15</v>
      </c>
      <c r="P938" s="655">
        <f t="shared" ca="1" si="92"/>
        <v>16449</v>
      </c>
      <c r="Q938" s="667">
        <f t="shared" ca="1" si="90"/>
        <v>16449</v>
      </c>
      <c r="R938" s="669" t="s">
        <v>1104</v>
      </c>
    </row>
    <row r="939" spans="2:18" ht="65.099999999999994" customHeight="1" x14ac:dyDescent="0.25">
      <c r="B939" s="688">
        <v>44841</v>
      </c>
      <c r="C939" s="688" t="s">
        <v>2351</v>
      </c>
      <c r="D939" s="651" t="s">
        <v>1875</v>
      </c>
      <c r="E939" s="651" t="s">
        <v>1950</v>
      </c>
      <c r="F939" s="652" t="s">
        <v>1916</v>
      </c>
      <c r="G939" s="651" t="s">
        <v>1951</v>
      </c>
      <c r="H939" s="651" t="s">
        <v>1798</v>
      </c>
      <c r="I939" s="679" t="s">
        <v>1596</v>
      </c>
      <c r="J939" s="684">
        <v>21932</v>
      </c>
      <c r="K939" s="684">
        <v>53.642899999999997</v>
      </c>
      <c r="L939" s="655">
        <f t="shared" si="93"/>
        <v>408.85187042460421</v>
      </c>
      <c r="M939" s="628">
        <v>60</v>
      </c>
      <c r="N939" s="667">
        <f t="shared" si="94"/>
        <v>365.53333333333336</v>
      </c>
      <c r="O939" s="668">
        <f t="shared" ca="1" si="91"/>
        <v>15</v>
      </c>
      <c r="P939" s="655">
        <f t="shared" ca="1" si="92"/>
        <v>16449</v>
      </c>
      <c r="Q939" s="667">
        <f t="shared" ca="1" si="90"/>
        <v>16449</v>
      </c>
      <c r="R939" s="669" t="s">
        <v>1104</v>
      </c>
    </row>
    <row r="940" spans="2:18" ht="65.099999999999994" customHeight="1" x14ac:dyDescent="0.25">
      <c r="B940" s="688">
        <v>44841</v>
      </c>
      <c r="C940" s="688" t="s">
        <v>2351</v>
      </c>
      <c r="D940" s="651" t="s">
        <v>1875</v>
      </c>
      <c r="E940" s="651" t="s">
        <v>1952</v>
      </c>
      <c r="F940" s="652" t="s">
        <v>1916</v>
      </c>
      <c r="G940" s="651" t="s">
        <v>1953</v>
      </c>
      <c r="H940" s="651" t="s">
        <v>1798</v>
      </c>
      <c r="I940" s="679" t="s">
        <v>1596</v>
      </c>
      <c r="J940" s="684">
        <v>21932</v>
      </c>
      <c r="K940" s="684">
        <v>53.642899999999997</v>
      </c>
      <c r="L940" s="655">
        <f t="shared" si="93"/>
        <v>408.85187042460421</v>
      </c>
      <c r="M940" s="628">
        <v>60</v>
      </c>
      <c r="N940" s="667">
        <f t="shared" si="94"/>
        <v>365.53333333333336</v>
      </c>
      <c r="O940" s="668">
        <f t="shared" ca="1" si="91"/>
        <v>15</v>
      </c>
      <c r="P940" s="655">
        <f t="shared" ca="1" si="92"/>
        <v>16449</v>
      </c>
      <c r="Q940" s="667">
        <f t="shared" ca="1" si="90"/>
        <v>16449</v>
      </c>
      <c r="R940" s="669" t="s">
        <v>1104</v>
      </c>
    </row>
    <row r="941" spans="2:18" ht="65.099999999999994" customHeight="1" x14ac:dyDescent="0.25">
      <c r="B941" s="688">
        <v>44841</v>
      </c>
      <c r="C941" s="688" t="s">
        <v>2351</v>
      </c>
      <c r="D941" s="651" t="s">
        <v>1875</v>
      </c>
      <c r="E941" s="651" t="s">
        <v>1954</v>
      </c>
      <c r="F941" s="652" t="s">
        <v>1916</v>
      </c>
      <c r="G941" s="651" t="s">
        <v>1955</v>
      </c>
      <c r="H941" s="651" t="s">
        <v>1798</v>
      </c>
      <c r="I941" s="679" t="s">
        <v>1596</v>
      </c>
      <c r="J941" s="684">
        <v>21932</v>
      </c>
      <c r="K941" s="684">
        <v>53.642899999999997</v>
      </c>
      <c r="L941" s="655">
        <f t="shared" si="93"/>
        <v>408.85187042460421</v>
      </c>
      <c r="M941" s="628">
        <v>60</v>
      </c>
      <c r="N941" s="667">
        <f t="shared" si="94"/>
        <v>365.53333333333336</v>
      </c>
      <c r="O941" s="668">
        <f t="shared" ca="1" si="91"/>
        <v>15</v>
      </c>
      <c r="P941" s="655">
        <f t="shared" ca="1" si="92"/>
        <v>16449</v>
      </c>
      <c r="Q941" s="667">
        <f t="shared" ca="1" si="90"/>
        <v>16449</v>
      </c>
      <c r="R941" s="669" t="s">
        <v>1104</v>
      </c>
    </row>
    <row r="942" spans="2:18" ht="60" customHeight="1" x14ac:dyDescent="0.25">
      <c r="B942" s="688">
        <v>44844</v>
      </c>
      <c r="C942" s="688" t="s">
        <v>2351</v>
      </c>
      <c r="D942" s="651" t="s">
        <v>1956</v>
      </c>
      <c r="E942" s="651" t="s">
        <v>1957</v>
      </c>
      <c r="F942" s="652" t="s">
        <v>1958</v>
      </c>
      <c r="G942" s="651" t="s">
        <v>1959</v>
      </c>
      <c r="H942" s="617" t="s">
        <v>1445</v>
      </c>
      <c r="I942" s="640" t="s">
        <v>4095</v>
      </c>
      <c r="J942" s="684">
        <v>136046.5</v>
      </c>
      <c r="K942" s="684">
        <v>53.501600000000003</v>
      </c>
      <c r="L942" s="655">
        <f t="shared" si="93"/>
        <v>2542.8491858187417</v>
      </c>
      <c r="M942" s="628">
        <v>60</v>
      </c>
      <c r="N942" s="667">
        <f t="shared" si="94"/>
        <v>2267.4416666666666</v>
      </c>
      <c r="O942" s="668">
        <f t="shared" ca="1" si="91"/>
        <v>15</v>
      </c>
      <c r="P942" s="655">
        <f t="shared" ca="1" si="92"/>
        <v>102034.875</v>
      </c>
      <c r="Q942" s="667">
        <f t="shared" ca="1" si="90"/>
        <v>102034.875</v>
      </c>
      <c r="R942" s="669" t="s">
        <v>1316</v>
      </c>
    </row>
    <row r="943" spans="2:18" ht="60" customHeight="1" x14ac:dyDescent="0.25">
      <c r="B943" s="688">
        <v>44844</v>
      </c>
      <c r="C943" s="688" t="s">
        <v>2351</v>
      </c>
      <c r="D943" s="651" t="s">
        <v>1956</v>
      </c>
      <c r="E943" s="651" t="s">
        <v>1960</v>
      </c>
      <c r="F943" s="652" t="s">
        <v>1958</v>
      </c>
      <c r="G943" s="651" t="s">
        <v>1961</v>
      </c>
      <c r="H943" s="617" t="s">
        <v>1445</v>
      </c>
      <c r="I943" s="640" t="s">
        <v>4095</v>
      </c>
      <c r="J943" s="684">
        <v>136046.5</v>
      </c>
      <c r="K943" s="684">
        <v>53.501600000000003</v>
      </c>
      <c r="L943" s="655">
        <f t="shared" si="93"/>
        <v>2542.8491858187417</v>
      </c>
      <c r="M943" s="628">
        <v>60</v>
      </c>
      <c r="N943" s="667">
        <f t="shared" si="94"/>
        <v>2267.4416666666666</v>
      </c>
      <c r="O943" s="668">
        <f t="shared" ca="1" si="91"/>
        <v>15</v>
      </c>
      <c r="P943" s="655">
        <f t="shared" ca="1" si="92"/>
        <v>102034.875</v>
      </c>
      <c r="Q943" s="667">
        <f t="shared" ca="1" si="90"/>
        <v>102034.875</v>
      </c>
      <c r="R943" s="669" t="s">
        <v>1316</v>
      </c>
    </row>
    <row r="944" spans="2:18" ht="60" customHeight="1" x14ac:dyDescent="0.25">
      <c r="B944" s="688">
        <v>44844</v>
      </c>
      <c r="C944" s="688" t="s">
        <v>2351</v>
      </c>
      <c r="D944" s="651" t="s">
        <v>1956</v>
      </c>
      <c r="E944" s="651" t="s">
        <v>1962</v>
      </c>
      <c r="F944" s="652" t="s">
        <v>1958</v>
      </c>
      <c r="G944" s="615" t="s">
        <v>1973</v>
      </c>
      <c r="H944" s="617" t="s">
        <v>1445</v>
      </c>
      <c r="I944" s="640" t="s">
        <v>4095</v>
      </c>
      <c r="J944" s="684">
        <v>136046.5</v>
      </c>
      <c r="K944" s="684">
        <v>53.501600000000003</v>
      </c>
      <c r="L944" s="655">
        <f t="shared" si="93"/>
        <v>2542.8491858187417</v>
      </c>
      <c r="M944" s="628">
        <v>60</v>
      </c>
      <c r="N944" s="667">
        <f t="shared" si="94"/>
        <v>2267.4416666666666</v>
      </c>
      <c r="O944" s="668">
        <f t="shared" ca="1" si="91"/>
        <v>15</v>
      </c>
      <c r="P944" s="655">
        <f t="shared" ca="1" si="92"/>
        <v>102034.875</v>
      </c>
      <c r="Q944" s="667">
        <f t="shared" ca="1" si="90"/>
        <v>102034.875</v>
      </c>
      <c r="R944" s="669" t="s">
        <v>1316</v>
      </c>
    </row>
    <row r="945" spans="2:18" ht="60" customHeight="1" x14ac:dyDescent="0.25">
      <c r="B945" s="688">
        <v>44844</v>
      </c>
      <c r="C945" s="688" t="s">
        <v>2351</v>
      </c>
      <c r="D945" s="651" t="s">
        <v>1956</v>
      </c>
      <c r="E945" s="651" t="s">
        <v>1964</v>
      </c>
      <c r="F945" s="652" t="s">
        <v>1958</v>
      </c>
      <c r="G945" s="651" t="s">
        <v>1965</v>
      </c>
      <c r="H945" s="617" t="s">
        <v>4098</v>
      </c>
      <c r="I945" s="640" t="s">
        <v>4096</v>
      </c>
      <c r="J945" s="684">
        <v>136046.5</v>
      </c>
      <c r="K945" s="684">
        <v>53.501600000000003</v>
      </c>
      <c r="L945" s="655">
        <f t="shared" si="93"/>
        <v>2542.8491858187417</v>
      </c>
      <c r="M945" s="628">
        <v>60</v>
      </c>
      <c r="N945" s="667">
        <f t="shared" si="94"/>
        <v>2267.4416666666666</v>
      </c>
      <c r="O945" s="668">
        <f t="shared" ca="1" si="91"/>
        <v>15</v>
      </c>
      <c r="P945" s="655">
        <f t="shared" ca="1" si="92"/>
        <v>102034.875</v>
      </c>
      <c r="Q945" s="667">
        <f t="shared" ca="1" si="90"/>
        <v>102034.875</v>
      </c>
      <c r="R945" s="669" t="s">
        <v>1316</v>
      </c>
    </row>
    <row r="946" spans="2:18" ht="60" customHeight="1" x14ac:dyDescent="0.25">
      <c r="B946" s="688">
        <v>44844</v>
      </c>
      <c r="C946" s="688" t="s">
        <v>2351</v>
      </c>
      <c r="D946" s="651" t="s">
        <v>1956</v>
      </c>
      <c r="E946" s="651" t="s">
        <v>1966</v>
      </c>
      <c r="F946" s="652" t="s">
        <v>1958</v>
      </c>
      <c r="G946" s="615" t="s">
        <v>1971</v>
      </c>
      <c r="H946" s="617" t="s">
        <v>4098</v>
      </c>
      <c r="I946" s="640" t="s">
        <v>4096</v>
      </c>
      <c r="J946" s="684">
        <v>136046.5</v>
      </c>
      <c r="K946" s="684">
        <v>53.501600000000003</v>
      </c>
      <c r="L946" s="655">
        <f t="shared" si="93"/>
        <v>2542.8491858187417</v>
      </c>
      <c r="M946" s="628">
        <v>60</v>
      </c>
      <c r="N946" s="667">
        <f t="shared" si="94"/>
        <v>2267.4416666666666</v>
      </c>
      <c r="O946" s="668">
        <f t="shared" ca="1" si="91"/>
        <v>15</v>
      </c>
      <c r="P946" s="655">
        <f t="shared" ca="1" si="92"/>
        <v>102034.875</v>
      </c>
      <c r="Q946" s="667">
        <f t="shared" ca="1" si="90"/>
        <v>102034.875</v>
      </c>
      <c r="R946" s="669" t="s">
        <v>1316</v>
      </c>
    </row>
    <row r="947" spans="2:18" ht="60" customHeight="1" x14ac:dyDescent="0.25">
      <c r="B947" s="688">
        <v>44844</v>
      </c>
      <c r="C947" s="688" t="s">
        <v>2351</v>
      </c>
      <c r="D947" s="651" t="s">
        <v>1956</v>
      </c>
      <c r="E947" s="651" t="s">
        <v>1968</v>
      </c>
      <c r="F947" s="652" t="s">
        <v>1958</v>
      </c>
      <c r="G947" s="651" t="s">
        <v>1969</v>
      </c>
      <c r="H947" s="617" t="s">
        <v>4098</v>
      </c>
      <c r="I947" s="640" t="s">
        <v>4096</v>
      </c>
      <c r="J947" s="684">
        <v>136046.5</v>
      </c>
      <c r="K947" s="684">
        <v>53.501600000000003</v>
      </c>
      <c r="L947" s="655">
        <f t="shared" si="93"/>
        <v>2542.8491858187417</v>
      </c>
      <c r="M947" s="628">
        <v>60</v>
      </c>
      <c r="N947" s="667">
        <f t="shared" si="94"/>
        <v>2267.4416666666666</v>
      </c>
      <c r="O947" s="668">
        <f t="shared" ca="1" si="91"/>
        <v>15</v>
      </c>
      <c r="P947" s="655">
        <f t="shared" ca="1" si="92"/>
        <v>102034.875</v>
      </c>
      <c r="Q947" s="667">
        <f t="shared" ca="1" si="90"/>
        <v>102034.875</v>
      </c>
      <c r="R947" s="669" t="s">
        <v>1316</v>
      </c>
    </row>
    <row r="948" spans="2:18" ht="60" customHeight="1" x14ac:dyDescent="0.25">
      <c r="B948" s="688">
        <v>44844</v>
      </c>
      <c r="C948" s="688" t="s">
        <v>2351</v>
      </c>
      <c r="D948" s="651" t="s">
        <v>1956</v>
      </c>
      <c r="E948" s="651" t="s">
        <v>1970</v>
      </c>
      <c r="F948" s="652" t="s">
        <v>1958</v>
      </c>
      <c r="G948" s="615" t="s">
        <v>1967</v>
      </c>
      <c r="H948" s="651" t="s">
        <v>1345</v>
      </c>
      <c r="I948" s="640" t="s">
        <v>4092</v>
      </c>
      <c r="J948" s="684">
        <v>136046.5</v>
      </c>
      <c r="K948" s="684">
        <v>53.501600000000003</v>
      </c>
      <c r="L948" s="655">
        <f t="shared" si="93"/>
        <v>2542.8491858187417</v>
      </c>
      <c r="M948" s="628">
        <v>60</v>
      </c>
      <c r="N948" s="667">
        <f t="shared" si="94"/>
        <v>2267.4416666666666</v>
      </c>
      <c r="O948" s="668">
        <f t="shared" ca="1" si="91"/>
        <v>15</v>
      </c>
      <c r="P948" s="655">
        <f t="shared" ca="1" si="92"/>
        <v>102034.875</v>
      </c>
      <c r="Q948" s="667">
        <f t="shared" ca="1" si="90"/>
        <v>102034.875</v>
      </c>
      <c r="R948" s="669" t="s">
        <v>1316</v>
      </c>
    </row>
    <row r="949" spans="2:18" ht="60" customHeight="1" x14ac:dyDescent="0.25">
      <c r="B949" s="688">
        <v>44844</v>
      </c>
      <c r="C949" s="688" t="s">
        <v>2351</v>
      </c>
      <c r="D949" s="651" t="s">
        <v>1956</v>
      </c>
      <c r="E949" s="651" t="s">
        <v>1972</v>
      </c>
      <c r="F949" s="652" t="s">
        <v>1958</v>
      </c>
      <c r="G949" s="615" t="s">
        <v>1977</v>
      </c>
      <c r="H949" s="651" t="s">
        <v>1345</v>
      </c>
      <c r="I949" s="640" t="s">
        <v>4092</v>
      </c>
      <c r="J949" s="684">
        <v>136046.5</v>
      </c>
      <c r="K949" s="684">
        <v>53.501600000000003</v>
      </c>
      <c r="L949" s="655">
        <f t="shared" si="93"/>
        <v>2542.8491858187417</v>
      </c>
      <c r="M949" s="628">
        <v>60</v>
      </c>
      <c r="N949" s="667">
        <f t="shared" si="94"/>
        <v>2267.4416666666666</v>
      </c>
      <c r="O949" s="668">
        <f t="shared" ca="1" si="91"/>
        <v>15</v>
      </c>
      <c r="P949" s="655">
        <f t="shared" ca="1" si="92"/>
        <v>102034.875</v>
      </c>
      <c r="Q949" s="667">
        <f t="shared" ca="1" si="90"/>
        <v>102034.875</v>
      </c>
      <c r="R949" s="669" t="s">
        <v>1316</v>
      </c>
    </row>
    <row r="950" spans="2:18" ht="60" customHeight="1" x14ac:dyDescent="0.25">
      <c r="B950" s="688">
        <v>44844</v>
      </c>
      <c r="C950" s="688" t="s">
        <v>2351</v>
      </c>
      <c r="D950" s="651" t="s">
        <v>1956</v>
      </c>
      <c r="E950" s="651" t="s">
        <v>1974</v>
      </c>
      <c r="F950" s="652" t="s">
        <v>1958</v>
      </c>
      <c r="G950" s="651" t="s">
        <v>1975</v>
      </c>
      <c r="H950" s="641" t="s">
        <v>4412</v>
      </c>
      <c r="I950" s="640" t="s">
        <v>4097</v>
      </c>
      <c r="J950" s="684">
        <v>136046.5</v>
      </c>
      <c r="K950" s="684">
        <v>53.501600000000003</v>
      </c>
      <c r="L950" s="655">
        <f t="shared" si="93"/>
        <v>2542.8491858187417</v>
      </c>
      <c r="M950" s="628">
        <v>60</v>
      </c>
      <c r="N950" s="667">
        <f t="shared" si="94"/>
        <v>2267.4416666666666</v>
      </c>
      <c r="O950" s="668">
        <f t="shared" ca="1" si="91"/>
        <v>15</v>
      </c>
      <c r="P950" s="655">
        <f t="shared" ca="1" si="92"/>
        <v>102034.875</v>
      </c>
      <c r="Q950" s="667">
        <f t="shared" ca="1" si="90"/>
        <v>102034.875</v>
      </c>
      <c r="R950" s="669" t="s">
        <v>1316</v>
      </c>
    </row>
    <row r="951" spans="2:18" ht="60" customHeight="1" x14ac:dyDescent="0.25">
      <c r="B951" s="688">
        <v>44844</v>
      </c>
      <c r="C951" s="688" t="s">
        <v>2351</v>
      </c>
      <c r="D951" s="651" t="s">
        <v>1956</v>
      </c>
      <c r="E951" s="651" t="s">
        <v>1976</v>
      </c>
      <c r="F951" s="652" t="s">
        <v>1958</v>
      </c>
      <c r="G951" s="615" t="s">
        <v>1963</v>
      </c>
      <c r="H951" s="617" t="s">
        <v>4425</v>
      </c>
      <c r="I951" s="640" t="s">
        <v>4091</v>
      </c>
      <c r="J951" s="684">
        <v>136046.5</v>
      </c>
      <c r="K951" s="684">
        <v>53.501600000000003</v>
      </c>
      <c r="L951" s="655">
        <f t="shared" si="93"/>
        <v>2542.8491858187417</v>
      </c>
      <c r="M951" s="628">
        <v>60</v>
      </c>
      <c r="N951" s="667">
        <f t="shared" si="94"/>
        <v>2267.4416666666666</v>
      </c>
      <c r="O951" s="668">
        <f t="shared" ca="1" si="91"/>
        <v>15</v>
      </c>
      <c r="P951" s="655">
        <f t="shared" ca="1" si="92"/>
        <v>102034.875</v>
      </c>
      <c r="Q951" s="667">
        <f t="shared" ca="1" si="90"/>
        <v>102034.875</v>
      </c>
      <c r="R951" s="669" t="s">
        <v>1316</v>
      </c>
    </row>
    <row r="952" spans="2:18" ht="60" customHeight="1" x14ac:dyDescent="0.25">
      <c r="B952" s="688">
        <v>44853</v>
      </c>
      <c r="C952" s="688" t="s">
        <v>2351</v>
      </c>
      <c r="D952" s="651" t="s">
        <v>1978</v>
      </c>
      <c r="E952" s="651" t="s">
        <v>1979</v>
      </c>
      <c r="F952" s="652" t="s">
        <v>1980</v>
      </c>
      <c r="G952" s="651" t="s">
        <v>1981</v>
      </c>
      <c r="H952" s="651" t="s">
        <v>1798</v>
      </c>
      <c r="I952" s="679" t="s">
        <v>1596</v>
      </c>
      <c r="J952" s="684">
        <v>13086.2</v>
      </c>
      <c r="K952" s="684">
        <v>53.501600000000003</v>
      </c>
      <c r="L952" s="655">
        <f t="shared" si="93"/>
        <v>244.59455418155719</v>
      </c>
      <c r="M952" s="628">
        <v>60</v>
      </c>
      <c r="N952" s="667">
        <f t="shared" si="94"/>
        <v>218.10333333333335</v>
      </c>
      <c r="O952" s="668">
        <f t="shared" ca="1" si="91"/>
        <v>15</v>
      </c>
      <c r="P952" s="655">
        <f t="shared" ca="1" si="92"/>
        <v>9814.6500000000015</v>
      </c>
      <c r="Q952" s="667">
        <f t="shared" ca="1" si="90"/>
        <v>9814.6500000000015</v>
      </c>
      <c r="R952" s="669" t="s">
        <v>1769</v>
      </c>
    </row>
    <row r="953" spans="2:18" ht="60" customHeight="1" x14ac:dyDescent="0.25">
      <c r="B953" s="688">
        <v>44853</v>
      </c>
      <c r="C953" s="688" t="s">
        <v>2351</v>
      </c>
      <c r="D953" s="651" t="s">
        <v>1978</v>
      </c>
      <c r="E953" s="651" t="s">
        <v>1982</v>
      </c>
      <c r="F953" s="652" t="s">
        <v>1980</v>
      </c>
      <c r="G953" s="651" t="s">
        <v>1983</v>
      </c>
      <c r="H953" s="651" t="s">
        <v>1798</v>
      </c>
      <c r="I953" s="679" t="s">
        <v>1596</v>
      </c>
      <c r="J953" s="684">
        <v>13086.2</v>
      </c>
      <c r="K953" s="684">
        <v>53.501600000000003</v>
      </c>
      <c r="L953" s="655">
        <f t="shared" si="93"/>
        <v>244.59455418155719</v>
      </c>
      <c r="M953" s="628">
        <v>60</v>
      </c>
      <c r="N953" s="667">
        <f t="shared" si="94"/>
        <v>218.10333333333335</v>
      </c>
      <c r="O953" s="668">
        <f t="shared" ca="1" si="91"/>
        <v>15</v>
      </c>
      <c r="P953" s="655">
        <f t="shared" ca="1" si="92"/>
        <v>9814.6500000000015</v>
      </c>
      <c r="Q953" s="667">
        <f t="shared" ca="1" si="90"/>
        <v>9814.6500000000015</v>
      </c>
      <c r="R953" s="669" t="s">
        <v>1104</v>
      </c>
    </row>
    <row r="954" spans="2:18" ht="60" customHeight="1" x14ac:dyDescent="0.25">
      <c r="B954" s="688">
        <v>44853</v>
      </c>
      <c r="C954" s="688" t="s">
        <v>2351</v>
      </c>
      <c r="D954" s="651" t="s">
        <v>1978</v>
      </c>
      <c r="E954" s="651" t="s">
        <v>1984</v>
      </c>
      <c r="F954" s="652" t="s">
        <v>1980</v>
      </c>
      <c r="G954" s="651" t="s">
        <v>1985</v>
      </c>
      <c r="H954" s="651" t="s">
        <v>1798</v>
      </c>
      <c r="I954" s="679" t="s">
        <v>1596</v>
      </c>
      <c r="J954" s="684">
        <v>13086.2</v>
      </c>
      <c r="K954" s="684">
        <v>53.501600000000003</v>
      </c>
      <c r="L954" s="655">
        <f t="shared" si="93"/>
        <v>244.59455418155719</v>
      </c>
      <c r="M954" s="628">
        <v>60</v>
      </c>
      <c r="N954" s="667">
        <f t="shared" si="94"/>
        <v>218.10333333333335</v>
      </c>
      <c r="O954" s="668">
        <f t="shared" ca="1" si="91"/>
        <v>15</v>
      </c>
      <c r="P954" s="655">
        <f t="shared" ca="1" si="92"/>
        <v>9814.6500000000015</v>
      </c>
      <c r="Q954" s="667">
        <f t="shared" ca="1" si="90"/>
        <v>9814.6500000000015</v>
      </c>
      <c r="R954" s="669" t="s">
        <v>1104</v>
      </c>
    </row>
    <row r="955" spans="2:18" ht="60" customHeight="1" x14ac:dyDescent="0.25">
      <c r="B955" s="688">
        <v>44853</v>
      </c>
      <c r="C955" s="688" t="s">
        <v>2351</v>
      </c>
      <c r="D955" s="651" t="s">
        <v>1978</v>
      </c>
      <c r="E955" s="651" t="s">
        <v>1986</v>
      </c>
      <c r="F955" s="652" t="s">
        <v>1980</v>
      </c>
      <c r="G955" s="651" t="s">
        <v>1987</v>
      </c>
      <c r="H955" s="651" t="s">
        <v>1798</v>
      </c>
      <c r="I955" s="679" t="s">
        <v>1596</v>
      </c>
      <c r="J955" s="684">
        <v>13086.2</v>
      </c>
      <c r="K955" s="684">
        <v>53.501600000000003</v>
      </c>
      <c r="L955" s="655">
        <f t="shared" si="93"/>
        <v>244.59455418155719</v>
      </c>
      <c r="M955" s="628">
        <v>60</v>
      </c>
      <c r="N955" s="667">
        <f t="shared" si="94"/>
        <v>218.10333333333335</v>
      </c>
      <c r="O955" s="668">
        <f t="shared" ca="1" si="91"/>
        <v>15</v>
      </c>
      <c r="P955" s="655">
        <f t="shared" ca="1" si="92"/>
        <v>9814.6500000000015</v>
      </c>
      <c r="Q955" s="667">
        <f t="shared" ca="1" si="90"/>
        <v>9814.6500000000015</v>
      </c>
      <c r="R955" s="669" t="s">
        <v>1104</v>
      </c>
    </row>
    <row r="956" spans="2:18" ht="60" customHeight="1" x14ac:dyDescent="0.25">
      <c r="B956" s="688">
        <v>44853</v>
      </c>
      <c r="C956" s="688" t="s">
        <v>2351</v>
      </c>
      <c r="D956" s="651" t="s">
        <v>1978</v>
      </c>
      <c r="E956" s="651" t="s">
        <v>1988</v>
      </c>
      <c r="F956" s="652" t="s">
        <v>1980</v>
      </c>
      <c r="G956" s="651" t="s">
        <v>1989</v>
      </c>
      <c r="H956" s="651" t="s">
        <v>1798</v>
      </c>
      <c r="I956" s="679" t="s">
        <v>1596</v>
      </c>
      <c r="J956" s="684">
        <v>13086.2</v>
      </c>
      <c r="K956" s="684">
        <v>53.501600000000003</v>
      </c>
      <c r="L956" s="655">
        <f t="shared" si="93"/>
        <v>244.59455418155719</v>
      </c>
      <c r="M956" s="628">
        <v>60</v>
      </c>
      <c r="N956" s="667">
        <f t="shared" si="94"/>
        <v>218.10333333333335</v>
      </c>
      <c r="O956" s="668">
        <f t="shared" ca="1" si="91"/>
        <v>15</v>
      </c>
      <c r="P956" s="655">
        <f t="shared" ca="1" si="92"/>
        <v>9814.6500000000015</v>
      </c>
      <c r="Q956" s="667">
        <f t="shared" ca="1" si="90"/>
        <v>9814.6500000000015</v>
      </c>
      <c r="R956" s="669" t="s">
        <v>1104</v>
      </c>
    </row>
    <row r="957" spans="2:18" ht="60" customHeight="1" x14ac:dyDescent="0.25">
      <c r="B957" s="688">
        <v>44853</v>
      </c>
      <c r="C957" s="688" t="s">
        <v>2351</v>
      </c>
      <c r="D957" s="651" t="s">
        <v>1978</v>
      </c>
      <c r="E957" s="651" t="s">
        <v>1990</v>
      </c>
      <c r="F957" s="652" t="s">
        <v>1980</v>
      </c>
      <c r="G957" s="651" t="s">
        <v>1991</v>
      </c>
      <c r="H957" s="651" t="s">
        <v>1798</v>
      </c>
      <c r="I957" s="679" t="s">
        <v>1596</v>
      </c>
      <c r="J957" s="684">
        <v>13086.2</v>
      </c>
      <c r="K957" s="684">
        <v>53.501600000000003</v>
      </c>
      <c r="L957" s="655">
        <f t="shared" si="93"/>
        <v>244.59455418155719</v>
      </c>
      <c r="M957" s="628">
        <v>60</v>
      </c>
      <c r="N957" s="667">
        <f t="shared" si="94"/>
        <v>218.10333333333335</v>
      </c>
      <c r="O957" s="668">
        <f t="shared" ca="1" si="91"/>
        <v>15</v>
      </c>
      <c r="P957" s="655">
        <f t="shared" ca="1" si="92"/>
        <v>9814.6500000000015</v>
      </c>
      <c r="Q957" s="667">
        <f t="shared" ca="1" si="90"/>
        <v>9814.6500000000015</v>
      </c>
      <c r="R957" s="669" t="s">
        <v>1104</v>
      </c>
    </row>
    <row r="958" spans="2:18" ht="60" customHeight="1" x14ac:dyDescent="0.25">
      <c r="B958" s="688">
        <v>44853</v>
      </c>
      <c r="C958" s="688" t="s">
        <v>2351</v>
      </c>
      <c r="D958" s="651" t="s">
        <v>1978</v>
      </c>
      <c r="E958" s="651" t="s">
        <v>1992</v>
      </c>
      <c r="F958" s="652" t="s">
        <v>1980</v>
      </c>
      <c r="G958" s="651" t="s">
        <v>1993</v>
      </c>
      <c r="H958" s="651" t="s">
        <v>1798</v>
      </c>
      <c r="I958" s="679" t="s">
        <v>1596</v>
      </c>
      <c r="J958" s="684">
        <v>13086.2</v>
      </c>
      <c r="K958" s="684">
        <v>53.501600000000003</v>
      </c>
      <c r="L958" s="655">
        <f t="shared" si="93"/>
        <v>244.59455418155719</v>
      </c>
      <c r="M958" s="628">
        <v>60</v>
      </c>
      <c r="N958" s="667">
        <f t="shared" si="94"/>
        <v>218.10333333333335</v>
      </c>
      <c r="O958" s="668">
        <f t="shared" ca="1" si="91"/>
        <v>15</v>
      </c>
      <c r="P958" s="655">
        <f t="shared" ca="1" si="92"/>
        <v>9814.6500000000015</v>
      </c>
      <c r="Q958" s="667">
        <f t="shared" ca="1" si="90"/>
        <v>9814.6500000000015</v>
      </c>
      <c r="R958" s="669" t="s">
        <v>1104</v>
      </c>
    </row>
    <row r="959" spans="2:18" ht="60" customHeight="1" x14ac:dyDescent="0.25">
      <c r="B959" s="688">
        <v>44853</v>
      </c>
      <c r="C959" s="688" t="s">
        <v>2351</v>
      </c>
      <c r="D959" s="651" t="s">
        <v>1978</v>
      </c>
      <c r="E959" s="651" t="s">
        <v>1994</v>
      </c>
      <c r="F959" s="652" t="s">
        <v>1980</v>
      </c>
      <c r="G959" s="651" t="s">
        <v>1995</v>
      </c>
      <c r="H959" s="651" t="s">
        <v>1798</v>
      </c>
      <c r="I959" s="679" t="s">
        <v>1596</v>
      </c>
      <c r="J959" s="684">
        <v>13086.2</v>
      </c>
      <c r="K959" s="684">
        <v>53.501600000000003</v>
      </c>
      <c r="L959" s="655">
        <f t="shared" si="93"/>
        <v>244.59455418155719</v>
      </c>
      <c r="M959" s="628">
        <v>60</v>
      </c>
      <c r="N959" s="667">
        <f t="shared" si="94"/>
        <v>218.10333333333335</v>
      </c>
      <c r="O959" s="668">
        <f t="shared" ca="1" si="91"/>
        <v>15</v>
      </c>
      <c r="P959" s="655">
        <f t="shared" ca="1" si="92"/>
        <v>9814.6500000000015</v>
      </c>
      <c r="Q959" s="667">
        <f t="shared" ca="1" si="90"/>
        <v>9814.6500000000015</v>
      </c>
      <c r="R959" s="669" t="s">
        <v>1104</v>
      </c>
    </row>
    <row r="960" spans="2:18" ht="60" customHeight="1" x14ac:dyDescent="0.25">
      <c r="B960" s="688">
        <v>44853</v>
      </c>
      <c r="C960" s="688" t="s">
        <v>2351</v>
      </c>
      <c r="D960" s="651" t="s">
        <v>1978</v>
      </c>
      <c r="E960" s="651" t="s">
        <v>1996</v>
      </c>
      <c r="F960" s="652" t="s">
        <v>1980</v>
      </c>
      <c r="G960" s="651" t="s">
        <v>1997</v>
      </c>
      <c r="H960" s="651" t="s">
        <v>1798</v>
      </c>
      <c r="I960" s="679" t="s">
        <v>1596</v>
      </c>
      <c r="J960" s="684">
        <v>13086.2</v>
      </c>
      <c r="K960" s="684">
        <v>53.501600000000003</v>
      </c>
      <c r="L960" s="655">
        <f t="shared" si="93"/>
        <v>244.59455418155719</v>
      </c>
      <c r="M960" s="628">
        <v>60</v>
      </c>
      <c r="N960" s="667">
        <f t="shared" si="94"/>
        <v>218.10333333333335</v>
      </c>
      <c r="O960" s="668">
        <f t="shared" ca="1" si="91"/>
        <v>15</v>
      </c>
      <c r="P960" s="655">
        <f t="shared" ca="1" si="92"/>
        <v>9814.6500000000015</v>
      </c>
      <c r="Q960" s="667">
        <f t="shared" ca="1" si="90"/>
        <v>9814.6500000000015</v>
      </c>
      <c r="R960" s="669" t="s">
        <v>1104</v>
      </c>
    </row>
    <row r="961" spans="2:18" ht="60" customHeight="1" x14ac:dyDescent="0.25">
      <c r="B961" s="688">
        <v>44853</v>
      </c>
      <c r="C961" s="688" t="s">
        <v>2351</v>
      </c>
      <c r="D961" s="651" t="s">
        <v>1978</v>
      </c>
      <c r="E961" s="651" t="s">
        <v>1998</v>
      </c>
      <c r="F961" s="652" t="s">
        <v>1980</v>
      </c>
      <c r="G961" s="651" t="s">
        <v>1999</v>
      </c>
      <c r="H961" s="651" t="s">
        <v>1798</v>
      </c>
      <c r="I961" s="679" t="s">
        <v>1596</v>
      </c>
      <c r="J961" s="684">
        <v>13086.2</v>
      </c>
      <c r="K961" s="684">
        <v>53.501600000000003</v>
      </c>
      <c r="L961" s="655">
        <f t="shared" si="93"/>
        <v>244.59455418155719</v>
      </c>
      <c r="M961" s="628">
        <v>60</v>
      </c>
      <c r="N961" s="667">
        <f t="shared" si="94"/>
        <v>218.10333333333335</v>
      </c>
      <c r="O961" s="668">
        <f t="shared" ca="1" si="91"/>
        <v>15</v>
      </c>
      <c r="P961" s="655">
        <f t="shared" ca="1" si="92"/>
        <v>9814.6500000000015</v>
      </c>
      <c r="Q961" s="667">
        <f t="shared" ca="1" si="90"/>
        <v>9814.6500000000015</v>
      </c>
      <c r="R961" s="669" t="s">
        <v>1104</v>
      </c>
    </row>
    <row r="962" spans="2:18" ht="60" customHeight="1" x14ac:dyDescent="0.25">
      <c r="B962" s="688">
        <v>44853</v>
      </c>
      <c r="C962" s="688" t="s">
        <v>2351</v>
      </c>
      <c r="D962" s="651" t="s">
        <v>1978</v>
      </c>
      <c r="E962" s="651" t="s">
        <v>2000</v>
      </c>
      <c r="F962" s="652" t="s">
        <v>2001</v>
      </c>
      <c r="G962" s="651" t="s">
        <v>2002</v>
      </c>
      <c r="H962" s="651" t="s">
        <v>1798</v>
      </c>
      <c r="I962" s="679" t="s">
        <v>1596</v>
      </c>
      <c r="J962" s="684">
        <v>4498.16</v>
      </c>
      <c r="K962" s="684">
        <v>53.501600000000003</v>
      </c>
      <c r="L962" s="655">
        <f t="shared" si="93"/>
        <v>84.075242609566814</v>
      </c>
      <c r="M962" s="628">
        <v>60</v>
      </c>
      <c r="N962" s="667">
        <f t="shared" si="94"/>
        <v>74.969333333333324</v>
      </c>
      <c r="O962" s="668">
        <f t="shared" ca="1" si="91"/>
        <v>15</v>
      </c>
      <c r="P962" s="655">
        <f t="shared" ca="1" si="92"/>
        <v>3373.62</v>
      </c>
      <c r="Q962" s="667">
        <f t="shared" ca="1" si="90"/>
        <v>3373.62</v>
      </c>
      <c r="R962" s="669" t="s">
        <v>1104</v>
      </c>
    </row>
    <row r="963" spans="2:18" ht="60" customHeight="1" x14ac:dyDescent="0.25">
      <c r="B963" s="688">
        <v>44853</v>
      </c>
      <c r="C963" s="688" t="s">
        <v>2351</v>
      </c>
      <c r="D963" s="651" t="s">
        <v>1978</v>
      </c>
      <c r="E963" s="651" t="s">
        <v>2003</v>
      </c>
      <c r="F963" s="652" t="s">
        <v>2001</v>
      </c>
      <c r="G963" s="651" t="s">
        <v>2004</v>
      </c>
      <c r="H963" s="651" t="s">
        <v>1798</v>
      </c>
      <c r="I963" s="679" t="s">
        <v>1596</v>
      </c>
      <c r="J963" s="684">
        <v>4498.16</v>
      </c>
      <c r="K963" s="684">
        <v>53.501600000000003</v>
      </c>
      <c r="L963" s="655">
        <f t="shared" si="93"/>
        <v>84.075242609566814</v>
      </c>
      <c r="M963" s="628">
        <v>60</v>
      </c>
      <c r="N963" s="667">
        <f t="shared" si="94"/>
        <v>74.969333333333324</v>
      </c>
      <c r="O963" s="668">
        <f t="shared" ca="1" si="91"/>
        <v>15</v>
      </c>
      <c r="P963" s="655">
        <f t="shared" ca="1" si="92"/>
        <v>3373.62</v>
      </c>
      <c r="Q963" s="667">
        <f t="shared" ca="1" si="90"/>
        <v>3373.62</v>
      </c>
      <c r="R963" s="669" t="s">
        <v>1104</v>
      </c>
    </row>
    <row r="964" spans="2:18" ht="60" customHeight="1" x14ac:dyDescent="0.25">
      <c r="B964" s="688">
        <v>44853</v>
      </c>
      <c r="C964" s="688" t="s">
        <v>2351</v>
      </c>
      <c r="D964" s="651" t="s">
        <v>1978</v>
      </c>
      <c r="E964" s="651" t="s">
        <v>2005</v>
      </c>
      <c r="F964" s="652" t="s">
        <v>2001</v>
      </c>
      <c r="G964" s="651" t="s">
        <v>2006</v>
      </c>
      <c r="H964" s="651" t="s">
        <v>1798</v>
      </c>
      <c r="I964" s="679" t="s">
        <v>1596</v>
      </c>
      <c r="J964" s="684">
        <v>4498.16</v>
      </c>
      <c r="K964" s="684">
        <v>53.501600000000003</v>
      </c>
      <c r="L964" s="655">
        <f t="shared" si="93"/>
        <v>84.075242609566814</v>
      </c>
      <c r="M964" s="628">
        <v>60</v>
      </c>
      <c r="N964" s="667">
        <f t="shared" si="94"/>
        <v>74.969333333333324</v>
      </c>
      <c r="O964" s="668">
        <f t="shared" ca="1" si="91"/>
        <v>15</v>
      </c>
      <c r="P964" s="655">
        <f t="shared" ca="1" si="92"/>
        <v>3373.62</v>
      </c>
      <c r="Q964" s="667">
        <f t="shared" ca="1" si="90"/>
        <v>3373.62</v>
      </c>
      <c r="R964" s="669" t="s">
        <v>1104</v>
      </c>
    </row>
    <row r="965" spans="2:18" ht="60" customHeight="1" x14ac:dyDescent="0.25">
      <c r="B965" s="688">
        <v>44853</v>
      </c>
      <c r="C965" s="688" t="s">
        <v>2351</v>
      </c>
      <c r="D965" s="651" t="s">
        <v>1978</v>
      </c>
      <c r="E965" s="651" t="s">
        <v>2007</v>
      </c>
      <c r="F965" s="652" t="s">
        <v>2001</v>
      </c>
      <c r="G965" s="651" t="s">
        <v>2008</v>
      </c>
      <c r="H965" s="651" t="s">
        <v>1798</v>
      </c>
      <c r="I965" s="679" t="s">
        <v>1596</v>
      </c>
      <c r="J965" s="684">
        <v>4498.16</v>
      </c>
      <c r="K965" s="684">
        <v>53.501600000000003</v>
      </c>
      <c r="L965" s="655">
        <f t="shared" si="93"/>
        <v>84.075242609566814</v>
      </c>
      <c r="M965" s="628">
        <v>60</v>
      </c>
      <c r="N965" s="667">
        <f t="shared" si="94"/>
        <v>74.969333333333324</v>
      </c>
      <c r="O965" s="668">
        <f t="shared" ca="1" si="91"/>
        <v>15</v>
      </c>
      <c r="P965" s="655">
        <f t="shared" ca="1" si="92"/>
        <v>3373.62</v>
      </c>
      <c r="Q965" s="667">
        <f t="shared" ca="1" si="90"/>
        <v>3373.62</v>
      </c>
      <c r="R965" s="669" t="s">
        <v>1104</v>
      </c>
    </row>
    <row r="966" spans="2:18" ht="60" customHeight="1" x14ac:dyDescent="0.25">
      <c r="B966" s="688">
        <v>44853</v>
      </c>
      <c r="C966" s="688" t="s">
        <v>2351</v>
      </c>
      <c r="D966" s="651" t="s">
        <v>1978</v>
      </c>
      <c r="E966" s="651" t="s">
        <v>2009</v>
      </c>
      <c r="F966" s="652" t="s">
        <v>2001</v>
      </c>
      <c r="G966" s="651" t="s">
        <v>2010</v>
      </c>
      <c r="H966" s="651" t="s">
        <v>1798</v>
      </c>
      <c r="I966" s="679" t="s">
        <v>1596</v>
      </c>
      <c r="J966" s="684">
        <v>4498.16</v>
      </c>
      <c r="K966" s="684">
        <v>53.501600000000003</v>
      </c>
      <c r="L966" s="655">
        <f t="shared" si="93"/>
        <v>84.075242609566814</v>
      </c>
      <c r="M966" s="628">
        <v>60</v>
      </c>
      <c r="N966" s="667">
        <f t="shared" si="94"/>
        <v>74.969333333333324</v>
      </c>
      <c r="O966" s="668">
        <f t="shared" ca="1" si="91"/>
        <v>15</v>
      </c>
      <c r="P966" s="655">
        <f t="shared" ca="1" si="92"/>
        <v>3373.62</v>
      </c>
      <c r="Q966" s="667">
        <f t="shared" ca="1" si="90"/>
        <v>3373.62</v>
      </c>
      <c r="R966" s="669" t="s">
        <v>1104</v>
      </c>
    </row>
    <row r="967" spans="2:18" ht="60" customHeight="1" x14ac:dyDescent="0.25">
      <c r="B967" s="688">
        <v>44853</v>
      </c>
      <c r="C967" s="688" t="s">
        <v>2351</v>
      </c>
      <c r="D967" s="651" t="s">
        <v>1978</v>
      </c>
      <c r="E967" s="651" t="s">
        <v>2011</v>
      </c>
      <c r="F967" s="652" t="s">
        <v>2001</v>
      </c>
      <c r="G967" s="651" t="s">
        <v>2012</v>
      </c>
      <c r="H967" s="651" t="s">
        <v>1798</v>
      </c>
      <c r="I967" s="679" t="s">
        <v>1596</v>
      </c>
      <c r="J967" s="684">
        <v>4498.16</v>
      </c>
      <c r="K967" s="684">
        <v>53.501600000000003</v>
      </c>
      <c r="L967" s="655">
        <f t="shared" si="93"/>
        <v>84.075242609566814</v>
      </c>
      <c r="M967" s="628">
        <v>60</v>
      </c>
      <c r="N967" s="667">
        <f t="shared" si="94"/>
        <v>74.969333333333324</v>
      </c>
      <c r="O967" s="668">
        <f t="shared" ca="1" si="91"/>
        <v>15</v>
      </c>
      <c r="P967" s="655">
        <f t="shared" ca="1" si="92"/>
        <v>3373.62</v>
      </c>
      <c r="Q967" s="667">
        <f t="shared" ca="1" si="90"/>
        <v>3373.62</v>
      </c>
      <c r="R967" s="669" t="s">
        <v>1104</v>
      </c>
    </row>
    <row r="968" spans="2:18" ht="60" customHeight="1" x14ac:dyDescent="0.25">
      <c r="B968" s="688">
        <v>44853</v>
      </c>
      <c r="C968" s="688" t="s">
        <v>2351</v>
      </c>
      <c r="D968" s="651" t="s">
        <v>1978</v>
      </c>
      <c r="E968" s="651" t="s">
        <v>2013</v>
      </c>
      <c r="F968" s="652" t="s">
        <v>2001</v>
      </c>
      <c r="G968" s="651" t="s">
        <v>2014</v>
      </c>
      <c r="H968" s="651" t="s">
        <v>1798</v>
      </c>
      <c r="I968" s="679" t="s">
        <v>1596</v>
      </c>
      <c r="J968" s="684">
        <v>4498.16</v>
      </c>
      <c r="K968" s="684">
        <v>53.501600000000003</v>
      </c>
      <c r="L968" s="655">
        <f t="shared" si="93"/>
        <v>84.075242609566814</v>
      </c>
      <c r="M968" s="628">
        <v>60</v>
      </c>
      <c r="N968" s="667">
        <f t="shared" si="94"/>
        <v>74.969333333333324</v>
      </c>
      <c r="O968" s="668">
        <f t="shared" ca="1" si="91"/>
        <v>15</v>
      </c>
      <c r="P968" s="655">
        <f t="shared" ca="1" si="92"/>
        <v>3373.62</v>
      </c>
      <c r="Q968" s="667">
        <f t="shared" ref="Q968:Q1031" ca="1" si="95">IF(P968&lt;1,1,P968)</f>
        <v>3373.62</v>
      </c>
      <c r="R968" s="669" t="s">
        <v>1104</v>
      </c>
    </row>
    <row r="969" spans="2:18" ht="60" customHeight="1" x14ac:dyDescent="0.25">
      <c r="B969" s="688">
        <v>44853</v>
      </c>
      <c r="C969" s="688" t="s">
        <v>2351</v>
      </c>
      <c r="D969" s="651" t="s">
        <v>1978</v>
      </c>
      <c r="E969" s="651" t="s">
        <v>2015</v>
      </c>
      <c r="F969" s="652" t="s">
        <v>2001</v>
      </c>
      <c r="G969" s="651" t="s">
        <v>2016</v>
      </c>
      <c r="H969" s="651" t="s">
        <v>1798</v>
      </c>
      <c r="I969" s="679" t="s">
        <v>1596</v>
      </c>
      <c r="J969" s="684">
        <v>4498.16</v>
      </c>
      <c r="K969" s="684">
        <v>53.501600000000003</v>
      </c>
      <c r="L969" s="655">
        <f t="shared" si="93"/>
        <v>84.075242609566814</v>
      </c>
      <c r="M969" s="628">
        <v>60</v>
      </c>
      <c r="N969" s="667">
        <f t="shared" si="94"/>
        <v>74.969333333333324</v>
      </c>
      <c r="O969" s="668">
        <f t="shared" ca="1" si="91"/>
        <v>15</v>
      </c>
      <c r="P969" s="655">
        <f t="shared" ca="1" si="92"/>
        <v>3373.62</v>
      </c>
      <c r="Q969" s="667">
        <f t="shared" ca="1" si="95"/>
        <v>3373.62</v>
      </c>
      <c r="R969" s="669" t="s">
        <v>1104</v>
      </c>
    </row>
    <row r="970" spans="2:18" ht="60" customHeight="1" x14ac:dyDescent="0.25">
      <c r="B970" s="688">
        <v>44853</v>
      </c>
      <c r="C970" s="688" t="s">
        <v>2351</v>
      </c>
      <c r="D970" s="651" t="s">
        <v>1978</v>
      </c>
      <c r="E970" s="651" t="s">
        <v>2017</v>
      </c>
      <c r="F970" s="652" t="s">
        <v>2001</v>
      </c>
      <c r="G970" s="651" t="s">
        <v>2018</v>
      </c>
      <c r="H970" s="651" t="s">
        <v>1798</v>
      </c>
      <c r="I970" s="679" t="s">
        <v>1596</v>
      </c>
      <c r="J970" s="684">
        <v>4498.16</v>
      </c>
      <c r="K970" s="684">
        <v>53.501600000000003</v>
      </c>
      <c r="L970" s="655">
        <f t="shared" si="93"/>
        <v>84.075242609566814</v>
      </c>
      <c r="M970" s="628">
        <v>60</v>
      </c>
      <c r="N970" s="667">
        <f t="shared" si="94"/>
        <v>74.969333333333324</v>
      </c>
      <c r="O970" s="668">
        <f t="shared" ca="1" si="91"/>
        <v>15</v>
      </c>
      <c r="P970" s="655">
        <f ca="1">J970-(N970*O970)</f>
        <v>3373.62</v>
      </c>
      <c r="Q970" s="667">
        <f t="shared" ca="1" si="95"/>
        <v>3373.62</v>
      </c>
      <c r="R970" s="669" t="s">
        <v>1104</v>
      </c>
    </row>
    <row r="971" spans="2:18" ht="60" customHeight="1" x14ac:dyDescent="0.25">
      <c r="B971" s="688">
        <v>44853</v>
      </c>
      <c r="C971" s="688" t="s">
        <v>2351</v>
      </c>
      <c r="D971" s="651" t="s">
        <v>1978</v>
      </c>
      <c r="E971" s="651" t="s">
        <v>2019</v>
      </c>
      <c r="F971" s="652" t="s">
        <v>2001</v>
      </c>
      <c r="G971" s="651" t="s">
        <v>2020</v>
      </c>
      <c r="H971" s="651" t="s">
        <v>1798</v>
      </c>
      <c r="I971" s="679" t="s">
        <v>1596</v>
      </c>
      <c r="J971" s="684">
        <v>4498.16</v>
      </c>
      <c r="K971" s="684">
        <v>53.501600000000003</v>
      </c>
      <c r="L971" s="655">
        <f t="shared" si="93"/>
        <v>84.075242609566814</v>
      </c>
      <c r="M971" s="628">
        <v>60</v>
      </c>
      <c r="N971" s="667">
        <f t="shared" si="94"/>
        <v>74.969333333333324</v>
      </c>
      <c r="O971" s="668">
        <f t="shared" ref="O971:O1034" ca="1" si="96">IF(B971&lt;&gt;0,(ROUND((NOW()-B971)/30,0)),0)</f>
        <v>15</v>
      </c>
      <c r="P971" s="655">
        <f ca="1">J971-(N971*O971)</f>
        <v>3373.62</v>
      </c>
      <c r="Q971" s="667">
        <f t="shared" ca="1" si="95"/>
        <v>3373.62</v>
      </c>
      <c r="R971" s="669" t="s">
        <v>1104</v>
      </c>
    </row>
    <row r="972" spans="2:18" ht="60" customHeight="1" x14ac:dyDescent="0.25">
      <c r="B972" s="688">
        <v>44853</v>
      </c>
      <c r="C972" s="688" t="s">
        <v>2351</v>
      </c>
      <c r="D972" s="651" t="s">
        <v>1978</v>
      </c>
      <c r="E972" s="651" t="s">
        <v>2021</v>
      </c>
      <c r="F972" s="652" t="s">
        <v>1800</v>
      </c>
      <c r="G972" s="651" t="s">
        <v>2022</v>
      </c>
      <c r="H972" s="651" t="s">
        <v>1798</v>
      </c>
      <c r="I972" s="679" t="s">
        <v>1596</v>
      </c>
      <c r="J972" s="684">
        <v>66039.88</v>
      </c>
      <c r="K972" s="684">
        <v>53.501600000000003</v>
      </c>
      <c r="L972" s="655">
        <f t="shared" si="93"/>
        <v>1234.3533651330054</v>
      </c>
      <c r="M972" s="628">
        <v>60</v>
      </c>
      <c r="N972" s="667">
        <f t="shared" si="94"/>
        <v>1100.6646666666668</v>
      </c>
      <c r="O972" s="668">
        <f t="shared" ca="1" si="96"/>
        <v>15</v>
      </c>
      <c r="P972" s="655">
        <f t="shared" ref="P972:P1037" ca="1" si="97">IF(OR(J972=0,M972=0,O972=0),0,J972-(N972*O972))</f>
        <v>49529.91</v>
      </c>
      <c r="Q972" s="667">
        <f t="shared" ca="1" si="95"/>
        <v>49529.91</v>
      </c>
      <c r="R972" s="669" t="s">
        <v>1104</v>
      </c>
    </row>
    <row r="973" spans="2:18" ht="60" customHeight="1" x14ac:dyDescent="0.25">
      <c r="B973" s="688">
        <v>44853</v>
      </c>
      <c r="C973" s="688" t="s">
        <v>2351</v>
      </c>
      <c r="D973" s="651" t="s">
        <v>1978</v>
      </c>
      <c r="E973" s="651" t="s">
        <v>2023</v>
      </c>
      <c r="F973" s="652" t="s">
        <v>1800</v>
      </c>
      <c r="G973" s="651" t="s">
        <v>2024</v>
      </c>
      <c r="H973" s="651" t="s">
        <v>1798</v>
      </c>
      <c r="I973" s="679" t="s">
        <v>1596</v>
      </c>
      <c r="J973" s="684">
        <v>66039.88</v>
      </c>
      <c r="K973" s="684">
        <v>53.501600000000003</v>
      </c>
      <c r="L973" s="655">
        <f t="shared" si="93"/>
        <v>1234.3533651330054</v>
      </c>
      <c r="M973" s="628">
        <v>60</v>
      </c>
      <c r="N973" s="667">
        <f t="shared" si="94"/>
        <v>1100.6646666666668</v>
      </c>
      <c r="O973" s="668">
        <f t="shared" ca="1" si="96"/>
        <v>15</v>
      </c>
      <c r="P973" s="655">
        <f t="shared" ca="1" si="97"/>
        <v>49529.91</v>
      </c>
      <c r="Q973" s="667">
        <f t="shared" ca="1" si="95"/>
        <v>49529.91</v>
      </c>
      <c r="R973" s="669" t="s">
        <v>1104</v>
      </c>
    </row>
    <row r="974" spans="2:18" ht="60" customHeight="1" x14ac:dyDescent="0.25">
      <c r="B974" s="688">
        <v>44853</v>
      </c>
      <c r="C974" s="688" t="s">
        <v>2351</v>
      </c>
      <c r="D974" s="651" t="s">
        <v>1978</v>
      </c>
      <c r="E974" s="651" t="s">
        <v>2025</v>
      </c>
      <c r="F974" s="652" t="s">
        <v>1800</v>
      </c>
      <c r="G974" s="651" t="s">
        <v>2026</v>
      </c>
      <c r="H974" s="651" t="s">
        <v>1798</v>
      </c>
      <c r="I974" s="679" t="s">
        <v>1596</v>
      </c>
      <c r="J974" s="684">
        <v>66039.88</v>
      </c>
      <c r="K974" s="684">
        <v>53.501600000000003</v>
      </c>
      <c r="L974" s="655">
        <f t="shared" ref="L974:L1037" si="98">+J974/K974</f>
        <v>1234.3533651330054</v>
      </c>
      <c r="M974" s="628">
        <v>60</v>
      </c>
      <c r="N974" s="667">
        <f t="shared" si="94"/>
        <v>1100.6646666666668</v>
      </c>
      <c r="O974" s="668">
        <f t="shared" ca="1" si="96"/>
        <v>15</v>
      </c>
      <c r="P974" s="655">
        <f t="shared" ca="1" si="97"/>
        <v>49529.91</v>
      </c>
      <c r="Q974" s="667">
        <f t="shared" ca="1" si="95"/>
        <v>49529.91</v>
      </c>
      <c r="R974" s="669" t="s">
        <v>1104</v>
      </c>
    </row>
    <row r="975" spans="2:18" ht="60" customHeight="1" x14ac:dyDescent="0.25">
      <c r="B975" s="688">
        <v>44853</v>
      </c>
      <c r="C975" s="688" t="s">
        <v>2351</v>
      </c>
      <c r="D975" s="651" t="s">
        <v>1978</v>
      </c>
      <c r="E975" s="651" t="s">
        <v>2027</v>
      </c>
      <c r="F975" s="652" t="s">
        <v>1800</v>
      </c>
      <c r="G975" s="651" t="s">
        <v>2028</v>
      </c>
      <c r="H975" s="651" t="s">
        <v>1798</v>
      </c>
      <c r="I975" s="679" t="s">
        <v>1596</v>
      </c>
      <c r="J975" s="684">
        <v>66039.88</v>
      </c>
      <c r="K975" s="684">
        <v>53.501600000000003</v>
      </c>
      <c r="L975" s="655">
        <f t="shared" si="98"/>
        <v>1234.3533651330054</v>
      </c>
      <c r="M975" s="628">
        <v>60</v>
      </c>
      <c r="N975" s="667">
        <f t="shared" si="94"/>
        <v>1100.6646666666668</v>
      </c>
      <c r="O975" s="668">
        <f t="shared" ca="1" si="96"/>
        <v>15</v>
      </c>
      <c r="P975" s="655">
        <f t="shared" ca="1" si="97"/>
        <v>49529.91</v>
      </c>
      <c r="Q975" s="667">
        <f t="shared" ca="1" si="95"/>
        <v>49529.91</v>
      </c>
      <c r="R975" s="669" t="s">
        <v>1104</v>
      </c>
    </row>
    <row r="976" spans="2:18" ht="60" customHeight="1" x14ac:dyDescent="0.25">
      <c r="B976" s="688">
        <v>44853</v>
      </c>
      <c r="C976" s="688" t="s">
        <v>2351</v>
      </c>
      <c r="D976" s="651" t="s">
        <v>1978</v>
      </c>
      <c r="E976" s="651" t="s">
        <v>2029</v>
      </c>
      <c r="F976" s="652" t="s">
        <v>1800</v>
      </c>
      <c r="G976" s="651" t="s">
        <v>2030</v>
      </c>
      <c r="H976" s="651" t="s">
        <v>1798</v>
      </c>
      <c r="I976" s="679" t="s">
        <v>1596</v>
      </c>
      <c r="J976" s="684">
        <v>66039.88</v>
      </c>
      <c r="K976" s="684">
        <v>53.501600000000003</v>
      </c>
      <c r="L976" s="655">
        <f t="shared" si="98"/>
        <v>1234.3533651330054</v>
      </c>
      <c r="M976" s="628">
        <v>60</v>
      </c>
      <c r="N976" s="667">
        <f t="shared" si="94"/>
        <v>1100.6646666666668</v>
      </c>
      <c r="O976" s="668">
        <f t="shared" ca="1" si="96"/>
        <v>15</v>
      </c>
      <c r="P976" s="655">
        <f t="shared" ca="1" si="97"/>
        <v>49529.91</v>
      </c>
      <c r="Q976" s="667">
        <f t="shared" ca="1" si="95"/>
        <v>49529.91</v>
      </c>
      <c r="R976" s="669" t="s">
        <v>1104</v>
      </c>
    </row>
    <row r="977" spans="1:18" ht="60" customHeight="1" x14ac:dyDescent="0.25">
      <c r="B977" s="688">
        <v>44853</v>
      </c>
      <c r="C977" s="688" t="s">
        <v>2351</v>
      </c>
      <c r="D977" s="651" t="s">
        <v>1978</v>
      </c>
      <c r="E977" s="651" t="s">
        <v>2031</v>
      </c>
      <c r="F977" s="652" t="s">
        <v>1800</v>
      </c>
      <c r="G977" s="651" t="s">
        <v>2032</v>
      </c>
      <c r="H977" s="651" t="s">
        <v>1798</v>
      </c>
      <c r="I977" s="679" t="s">
        <v>1596</v>
      </c>
      <c r="J977" s="684">
        <v>66039.88</v>
      </c>
      <c r="K977" s="684">
        <v>53.501600000000003</v>
      </c>
      <c r="L977" s="655">
        <f t="shared" si="98"/>
        <v>1234.3533651330054</v>
      </c>
      <c r="M977" s="628">
        <v>60</v>
      </c>
      <c r="N977" s="667">
        <f t="shared" si="94"/>
        <v>1100.6646666666668</v>
      </c>
      <c r="O977" s="668">
        <f t="shared" ca="1" si="96"/>
        <v>15</v>
      </c>
      <c r="P977" s="655">
        <f t="shared" ca="1" si="97"/>
        <v>49529.91</v>
      </c>
      <c r="Q977" s="667">
        <f t="shared" ca="1" si="95"/>
        <v>49529.91</v>
      </c>
      <c r="R977" s="669" t="s">
        <v>1104</v>
      </c>
    </row>
    <row r="978" spans="1:18" ht="60" customHeight="1" x14ac:dyDescent="0.25">
      <c r="B978" s="688">
        <v>44853</v>
      </c>
      <c r="C978" s="688" t="s">
        <v>2351</v>
      </c>
      <c r="D978" s="651" t="s">
        <v>1978</v>
      </c>
      <c r="E978" s="651" t="s">
        <v>2033</v>
      </c>
      <c r="F978" s="652" t="s">
        <v>1800</v>
      </c>
      <c r="G978" s="651" t="s">
        <v>2034</v>
      </c>
      <c r="H978" s="651" t="s">
        <v>1798</v>
      </c>
      <c r="I978" s="679" t="s">
        <v>1596</v>
      </c>
      <c r="J978" s="684">
        <v>66039.88</v>
      </c>
      <c r="K978" s="684">
        <v>53.501600000000003</v>
      </c>
      <c r="L978" s="655">
        <f t="shared" si="98"/>
        <v>1234.3533651330054</v>
      </c>
      <c r="M978" s="628">
        <v>60</v>
      </c>
      <c r="N978" s="667">
        <f t="shared" ref="N978:N1041" si="99">IF(AND(J978&lt;&gt;0,M978&lt;&gt;0),J978/M978,0)</f>
        <v>1100.6646666666668</v>
      </c>
      <c r="O978" s="668">
        <f t="shared" ca="1" si="96"/>
        <v>15</v>
      </c>
      <c r="P978" s="655">
        <f t="shared" ca="1" si="97"/>
        <v>49529.91</v>
      </c>
      <c r="Q978" s="667">
        <f t="shared" ca="1" si="95"/>
        <v>49529.91</v>
      </c>
      <c r="R978" s="669" t="s">
        <v>1104</v>
      </c>
    </row>
    <row r="979" spans="1:18" ht="60" customHeight="1" x14ac:dyDescent="0.25">
      <c r="B979" s="688">
        <v>44853</v>
      </c>
      <c r="C979" s="688" t="s">
        <v>2351</v>
      </c>
      <c r="D979" s="651" t="s">
        <v>1978</v>
      </c>
      <c r="E979" s="651" t="s">
        <v>2035</v>
      </c>
      <c r="F979" s="652" t="s">
        <v>1800</v>
      </c>
      <c r="G979" s="651" t="s">
        <v>2036</v>
      </c>
      <c r="H979" s="651" t="s">
        <v>1798</v>
      </c>
      <c r="I979" s="679" t="s">
        <v>1596</v>
      </c>
      <c r="J979" s="684">
        <v>66039.88</v>
      </c>
      <c r="K979" s="684">
        <v>53.501600000000003</v>
      </c>
      <c r="L979" s="655">
        <f t="shared" si="98"/>
        <v>1234.3533651330054</v>
      </c>
      <c r="M979" s="628">
        <v>60</v>
      </c>
      <c r="N979" s="667">
        <f t="shared" si="99"/>
        <v>1100.6646666666668</v>
      </c>
      <c r="O979" s="668">
        <f t="shared" ca="1" si="96"/>
        <v>15</v>
      </c>
      <c r="P979" s="655">
        <f t="shared" ca="1" si="97"/>
        <v>49529.91</v>
      </c>
      <c r="Q979" s="667">
        <f t="shared" ca="1" si="95"/>
        <v>49529.91</v>
      </c>
      <c r="R979" s="669" t="s">
        <v>1104</v>
      </c>
    </row>
    <row r="980" spans="1:18" ht="60" customHeight="1" x14ac:dyDescent="0.25">
      <c r="B980" s="688">
        <v>44853</v>
      </c>
      <c r="C980" s="688" t="s">
        <v>2351</v>
      </c>
      <c r="D980" s="651" t="s">
        <v>1978</v>
      </c>
      <c r="E980" s="651" t="s">
        <v>2037</v>
      </c>
      <c r="F980" s="652" t="s">
        <v>1800</v>
      </c>
      <c r="G980" s="651" t="s">
        <v>2038</v>
      </c>
      <c r="H980" s="651" t="s">
        <v>1798</v>
      </c>
      <c r="I980" s="679" t="s">
        <v>1596</v>
      </c>
      <c r="J980" s="684">
        <v>66039.88</v>
      </c>
      <c r="K980" s="684">
        <v>53.501600000000003</v>
      </c>
      <c r="L980" s="655">
        <f t="shared" si="98"/>
        <v>1234.3533651330054</v>
      </c>
      <c r="M980" s="628">
        <v>60</v>
      </c>
      <c r="N980" s="667">
        <f t="shared" si="99"/>
        <v>1100.6646666666668</v>
      </c>
      <c r="O980" s="668">
        <f t="shared" ca="1" si="96"/>
        <v>15</v>
      </c>
      <c r="P980" s="655">
        <f t="shared" ca="1" si="97"/>
        <v>49529.91</v>
      </c>
      <c r="Q980" s="667">
        <f t="shared" ca="1" si="95"/>
        <v>49529.91</v>
      </c>
      <c r="R980" s="669" t="s">
        <v>1104</v>
      </c>
    </row>
    <row r="981" spans="1:18" ht="69" customHeight="1" x14ac:dyDescent="0.25">
      <c r="B981" s="688">
        <v>44853</v>
      </c>
      <c r="C981" s="688" t="s">
        <v>2351</v>
      </c>
      <c r="D981" s="651" t="s">
        <v>1978</v>
      </c>
      <c r="E981" s="651" t="s">
        <v>2039</v>
      </c>
      <c r="F981" s="652" t="s">
        <v>1800</v>
      </c>
      <c r="G981" s="651" t="s">
        <v>2040</v>
      </c>
      <c r="H981" s="651" t="s">
        <v>1798</v>
      </c>
      <c r="I981" s="679" t="s">
        <v>1596</v>
      </c>
      <c r="J981" s="684">
        <v>66039.88</v>
      </c>
      <c r="K981" s="684">
        <v>53.501600000000003</v>
      </c>
      <c r="L981" s="655">
        <f t="shared" si="98"/>
        <v>1234.3533651330054</v>
      </c>
      <c r="M981" s="628">
        <v>60</v>
      </c>
      <c r="N981" s="667">
        <f t="shared" si="99"/>
        <v>1100.6646666666668</v>
      </c>
      <c r="O981" s="668">
        <f t="shared" ca="1" si="96"/>
        <v>15</v>
      </c>
      <c r="P981" s="655">
        <f t="shared" ca="1" si="97"/>
        <v>49529.91</v>
      </c>
      <c r="Q981" s="667">
        <f t="shared" ca="1" si="95"/>
        <v>49529.91</v>
      </c>
      <c r="R981" s="669" t="s">
        <v>1104</v>
      </c>
    </row>
    <row r="982" spans="1:18" ht="50.1" customHeight="1" x14ac:dyDescent="0.25">
      <c r="B982" s="688">
        <v>44883</v>
      </c>
      <c r="C982" s="688" t="s">
        <v>2351</v>
      </c>
      <c r="D982" s="651" t="s">
        <v>2041</v>
      </c>
      <c r="E982" s="651" t="s">
        <v>2042</v>
      </c>
      <c r="F982" s="652" t="s">
        <v>2043</v>
      </c>
      <c r="G982" s="689">
        <v>202205061512</v>
      </c>
      <c r="H982" s="651" t="s">
        <v>1798</v>
      </c>
      <c r="I982" s="679" t="s">
        <v>1596</v>
      </c>
      <c r="J982" s="684">
        <v>4956</v>
      </c>
      <c r="K982" s="684">
        <v>54.383499999999998</v>
      </c>
      <c r="L982" s="655">
        <f t="shared" si="98"/>
        <v>91.130581886049995</v>
      </c>
      <c r="M982" s="628">
        <v>60</v>
      </c>
      <c r="N982" s="667">
        <f t="shared" si="99"/>
        <v>82.6</v>
      </c>
      <c r="O982" s="668">
        <f t="shared" ca="1" si="96"/>
        <v>14</v>
      </c>
      <c r="P982" s="655">
        <f t="shared" ca="1" si="97"/>
        <v>3799.6000000000004</v>
      </c>
      <c r="Q982" s="667">
        <f t="shared" ca="1" si="95"/>
        <v>3799.6000000000004</v>
      </c>
      <c r="R982" s="669" t="s">
        <v>2044</v>
      </c>
    </row>
    <row r="983" spans="1:18" ht="50.1" customHeight="1" x14ac:dyDescent="0.25">
      <c r="B983" s="688">
        <v>44883</v>
      </c>
      <c r="C983" s="688" t="s">
        <v>2351</v>
      </c>
      <c r="D983" s="651" t="s">
        <v>2041</v>
      </c>
      <c r="E983" s="651" t="s">
        <v>2045</v>
      </c>
      <c r="F983" s="652" t="s">
        <v>2043</v>
      </c>
      <c r="G983" s="689">
        <v>202205061028</v>
      </c>
      <c r="H983" s="651" t="s">
        <v>1798</v>
      </c>
      <c r="I983" s="679" t="s">
        <v>1596</v>
      </c>
      <c r="J983" s="684">
        <v>4956</v>
      </c>
      <c r="K983" s="684">
        <v>54.383499999999998</v>
      </c>
      <c r="L983" s="655">
        <f t="shared" si="98"/>
        <v>91.130581886049995</v>
      </c>
      <c r="M983" s="628">
        <v>60</v>
      </c>
      <c r="N983" s="667">
        <f t="shared" si="99"/>
        <v>82.6</v>
      </c>
      <c r="O983" s="668">
        <f t="shared" ca="1" si="96"/>
        <v>14</v>
      </c>
      <c r="P983" s="655">
        <f t="shared" ca="1" si="97"/>
        <v>3799.6000000000004</v>
      </c>
      <c r="Q983" s="667">
        <f t="shared" ca="1" si="95"/>
        <v>3799.6000000000004</v>
      </c>
      <c r="R983" s="669" t="s">
        <v>2044</v>
      </c>
    </row>
    <row r="984" spans="1:18" ht="50.1" customHeight="1" x14ac:dyDescent="0.25">
      <c r="B984" s="688">
        <v>44883</v>
      </c>
      <c r="C984" s="688" t="s">
        <v>2351</v>
      </c>
      <c r="D984" s="651" t="s">
        <v>2041</v>
      </c>
      <c r="E984" s="651" t="s">
        <v>2046</v>
      </c>
      <c r="F984" s="652" t="s">
        <v>2043</v>
      </c>
      <c r="G984" s="689">
        <v>202205061485</v>
      </c>
      <c r="H984" s="651" t="s">
        <v>1798</v>
      </c>
      <c r="I984" s="679" t="s">
        <v>1596</v>
      </c>
      <c r="J984" s="684">
        <v>4956</v>
      </c>
      <c r="K984" s="684">
        <v>54.383499999999998</v>
      </c>
      <c r="L984" s="655">
        <f t="shared" si="98"/>
        <v>91.130581886049995</v>
      </c>
      <c r="M984" s="628">
        <v>60</v>
      </c>
      <c r="N984" s="667">
        <f t="shared" si="99"/>
        <v>82.6</v>
      </c>
      <c r="O984" s="668">
        <f t="shared" ca="1" si="96"/>
        <v>14</v>
      </c>
      <c r="P984" s="655">
        <f t="shared" ca="1" si="97"/>
        <v>3799.6000000000004</v>
      </c>
      <c r="Q984" s="667">
        <f t="shared" ca="1" si="95"/>
        <v>3799.6000000000004</v>
      </c>
      <c r="R984" s="669" t="s">
        <v>2044</v>
      </c>
    </row>
    <row r="985" spans="1:18" ht="50.1" customHeight="1" x14ac:dyDescent="0.25">
      <c r="B985" s="688">
        <v>44883</v>
      </c>
      <c r="C985" s="688" t="s">
        <v>2351</v>
      </c>
      <c r="D985" s="651" t="s">
        <v>2041</v>
      </c>
      <c r="E985" s="651" t="s">
        <v>2047</v>
      </c>
      <c r="F985" s="652" t="s">
        <v>2043</v>
      </c>
      <c r="G985" s="689">
        <v>202205061046</v>
      </c>
      <c r="H985" s="651" t="s">
        <v>1798</v>
      </c>
      <c r="I985" s="679" t="s">
        <v>1596</v>
      </c>
      <c r="J985" s="684">
        <v>4956</v>
      </c>
      <c r="K985" s="684">
        <v>54.383499999999998</v>
      </c>
      <c r="L985" s="655">
        <f t="shared" si="98"/>
        <v>91.130581886049995</v>
      </c>
      <c r="M985" s="628">
        <v>60</v>
      </c>
      <c r="N985" s="667">
        <f t="shared" si="99"/>
        <v>82.6</v>
      </c>
      <c r="O985" s="668">
        <f t="shared" ca="1" si="96"/>
        <v>14</v>
      </c>
      <c r="P985" s="655">
        <f t="shared" ca="1" si="97"/>
        <v>3799.6000000000004</v>
      </c>
      <c r="Q985" s="667">
        <f t="shared" ca="1" si="95"/>
        <v>3799.6000000000004</v>
      </c>
      <c r="R985" s="669" t="s">
        <v>2044</v>
      </c>
    </row>
    <row r="986" spans="1:18" ht="50.1" customHeight="1" x14ac:dyDescent="0.25">
      <c r="B986" s="688">
        <v>44883</v>
      </c>
      <c r="C986" s="688" t="s">
        <v>2351</v>
      </c>
      <c r="D986" s="651" t="s">
        <v>2041</v>
      </c>
      <c r="E986" s="651" t="s">
        <v>2048</v>
      </c>
      <c r="F986" s="652" t="s">
        <v>2043</v>
      </c>
      <c r="G986" s="689">
        <v>202205061500</v>
      </c>
      <c r="H986" s="651" t="s">
        <v>1798</v>
      </c>
      <c r="I986" s="679" t="s">
        <v>1596</v>
      </c>
      <c r="J986" s="684">
        <v>4956</v>
      </c>
      <c r="K986" s="684">
        <v>54.383499999999998</v>
      </c>
      <c r="L986" s="655">
        <f t="shared" si="98"/>
        <v>91.130581886049995</v>
      </c>
      <c r="M986" s="628">
        <v>60</v>
      </c>
      <c r="N986" s="667">
        <f t="shared" si="99"/>
        <v>82.6</v>
      </c>
      <c r="O986" s="668">
        <f t="shared" ca="1" si="96"/>
        <v>14</v>
      </c>
      <c r="P986" s="655">
        <f t="shared" ca="1" si="97"/>
        <v>3799.6000000000004</v>
      </c>
      <c r="Q986" s="667">
        <f t="shared" ca="1" si="95"/>
        <v>3799.6000000000004</v>
      </c>
      <c r="R986" s="669" t="s">
        <v>2044</v>
      </c>
    </row>
    <row r="987" spans="1:18" ht="35.1" customHeight="1" x14ac:dyDescent="0.25">
      <c r="B987" s="688">
        <v>44883</v>
      </c>
      <c r="C987" s="688" t="s">
        <v>2351</v>
      </c>
      <c r="D987" s="651" t="s">
        <v>2041</v>
      </c>
      <c r="E987" s="651" t="s">
        <v>2049</v>
      </c>
      <c r="F987" s="652" t="s">
        <v>2043</v>
      </c>
      <c r="G987" s="689">
        <v>202205061476</v>
      </c>
      <c r="H987" s="651" t="s">
        <v>1798</v>
      </c>
      <c r="I987" s="679" t="s">
        <v>1596</v>
      </c>
      <c r="J987" s="684">
        <v>4956</v>
      </c>
      <c r="K987" s="684">
        <v>54.383499999999998</v>
      </c>
      <c r="L987" s="655">
        <f t="shared" si="98"/>
        <v>91.130581886049995</v>
      </c>
      <c r="M987" s="628">
        <v>60</v>
      </c>
      <c r="N987" s="667">
        <f t="shared" si="99"/>
        <v>82.6</v>
      </c>
      <c r="O987" s="668">
        <f t="shared" ca="1" si="96"/>
        <v>14</v>
      </c>
      <c r="P987" s="655">
        <f t="shared" ca="1" si="97"/>
        <v>3799.6000000000004</v>
      </c>
      <c r="Q987" s="667">
        <f t="shared" ca="1" si="95"/>
        <v>3799.6000000000004</v>
      </c>
      <c r="R987" s="669" t="s">
        <v>2044</v>
      </c>
    </row>
    <row r="988" spans="1:18" ht="35.1" customHeight="1" x14ac:dyDescent="0.25">
      <c r="A988" s="417" t="s">
        <v>2050</v>
      </c>
      <c r="B988" s="688">
        <v>44883</v>
      </c>
      <c r="C988" s="688" t="s">
        <v>2351</v>
      </c>
      <c r="D988" s="651" t="s">
        <v>2041</v>
      </c>
      <c r="E988" s="651" t="s">
        <v>2051</v>
      </c>
      <c r="F988" s="652" t="s">
        <v>2043</v>
      </c>
      <c r="G988" s="689">
        <v>202205061492</v>
      </c>
      <c r="H988" s="651" t="s">
        <v>1798</v>
      </c>
      <c r="I988" s="679" t="s">
        <v>1596</v>
      </c>
      <c r="J988" s="684">
        <v>4956</v>
      </c>
      <c r="K988" s="684">
        <v>54.383499999999998</v>
      </c>
      <c r="L988" s="655">
        <f t="shared" si="98"/>
        <v>91.130581886049995</v>
      </c>
      <c r="M988" s="628">
        <v>60</v>
      </c>
      <c r="N988" s="667">
        <f t="shared" si="99"/>
        <v>82.6</v>
      </c>
      <c r="O988" s="668">
        <f t="shared" ca="1" si="96"/>
        <v>14</v>
      </c>
      <c r="P988" s="655">
        <f t="shared" ca="1" si="97"/>
        <v>3799.6000000000004</v>
      </c>
      <c r="Q988" s="667">
        <f t="shared" ca="1" si="95"/>
        <v>3799.6000000000004</v>
      </c>
      <c r="R988" s="669" t="s">
        <v>2044</v>
      </c>
    </row>
    <row r="989" spans="1:18" ht="35.1" customHeight="1" x14ac:dyDescent="0.25">
      <c r="B989" s="688">
        <v>44883</v>
      </c>
      <c r="C989" s="688" t="s">
        <v>2351</v>
      </c>
      <c r="D989" s="651" t="s">
        <v>2041</v>
      </c>
      <c r="E989" s="651" t="s">
        <v>2052</v>
      </c>
      <c r="F989" s="652" t="s">
        <v>2043</v>
      </c>
      <c r="G989" s="689">
        <v>202205061502</v>
      </c>
      <c r="H989" s="651" t="s">
        <v>1798</v>
      </c>
      <c r="I989" s="679" t="s">
        <v>1596</v>
      </c>
      <c r="J989" s="684">
        <v>4956</v>
      </c>
      <c r="K989" s="684">
        <v>54.383499999999998</v>
      </c>
      <c r="L989" s="655">
        <f t="shared" si="98"/>
        <v>91.130581886049995</v>
      </c>
      <c r="M989" s="628">
        <v>60</v>
      </c>
      <c r="N989" s="667">
        <f t="shared" si="99"/>
        <v>82.6</v>
      </c>
      <c r="O989" s="668">
        <f t="shared" ca="1" si="96"/>
        <v>14</v>
      </c>
      <c r="P989" s="655">
        <f t="shared" ca="1" si="97"/>
        <v>3799.6000000000004</v>
      </c>
      <c r="Q989" s="667">
        <f t="shared" ca="1" si="95"/>
        <v>3799.6000000000004</v>
      </c>
      <c r="R989" s="669" t="s">
        <v>2044</v>
      </c>
    </row>
    <row r="990" spans="1:18" ht="35.1" customHeight="1" x14ac:dyDescent="0.25">
      <c r="B990" s="688">
        <v>44883</v>
      </c>
      <c r="C990" s="688" t="s">
        <v>2351</v>
      </c>
      <c r="D990" s="651" t="s">
        <v>2041</v>
      </c>
      <c r="E990" s="651" t="s">
        <v>2053</v>
      </c>
      <c r="F990" s="652" t="s">
        <v>2043</v>
      </c>
      <c r="G990" s="689">
        <v>202205061473</v>
      </c>
      <c r="H990" s="651" t="s">
        <v>1798</v>
      </c>
      <c r="I990" s="679" t="s">
        <v>1596</v>
      </c>
      <c r="J990" s="684">
        <v>4956</v>
      </c>
      <c r="K990" s="684">
        <v>54.383499999999998</v>
      </c>
      <c r="L990" s="655">
        <f t="shared" si="98"/>
        <v>91.130581886049995</v>
      </c>
      <c r="M990" s="628">
        <v>60</v>
      </c>
      <c r="N990" s="667">
        <f t="shared" si="99"/>
        <v>82.6</v>
      </c>
      <c r="O990" s="668">
        <f t="shared" ca="1" si="96"/>
        <v>14</v>
      </c>
      <c r="P990" s="655">
        <f t="shared" ca="1" si="97"/>
        <v>3799.6000000000004</v>
      </c>
      <c r="Q990" s="667">
        <f t="shared" ca="1" si="95"/>
        <v>3799.6000000000004</v>
      </c>
      <c r="R990" s="669" t="s">
        <v>2044</v>
      </c>
    </row>
    <row r="991" spans="1:18" ht="35.1" customHeight="1" x14ac:dyDescent="0.25">
      <c r="B991" s="688">
        <v>44883</v>
      </c>
      <c r="C991" s="688" t="s">
        <v>2351</v>
      </c>
      <c r="D991" s="651" t="s">
        <v>2041</v>
      </c>
      <c r="E991" s="651" t="s">
        <v>2054</v>
      </c>
      <c r="F991" s="652" t="s">
        <v>2043</v>
      </c>
      <c r="G991" s="689">
        <v>202205061499</v>
      </c>
      <c r="H991" s="651" t="s">
        <v>1798</v>
      </c>
      <c r="I991" s="679" t="s">
        <v>1596</v>
      </c>
      <c r="J991" s="684">
        <v>4956</v>
      </c>
      <c r="K991" s="684">
        <v>54.383499999999998</v>
      </c>
      <c r="L991" s="655">
        <f t="shared" si="98"/>
        <v>91.130581886049995</v>
      </c>
      <c r="M991" s="628">
        <v>60</v>
      </c>
      <c r="N991" s="667">
        <f t="shared" si="99"/>
        <v>82.6</v>
      </c>
      <c r="O991" s="668">
        <f t="shared" ca="1" si="96"/>
        <v>14</v>
      </c>
      <c r="P991" s="655">
        <f t="shared" ca="1" si="97"/>
        <v>3799.6000000000004</v>
      </c>
      <c r="Q991" s="667">
        <f t="shared" ca="1" si="95"/>
        <v>3799.6000000000004</v>
      </c>
      <c r="R991" s="669" t="s">
        <v>2044</v>
      </c>
    </row>
    <row r="992" spans="1:18" ht="35.1" customHeight="1" x14ac:dyDescent="0.25">
      <c r="B992" s="688">
        <v>44883</v>
      </c>
      <c r="C992" s="688" t="s">
        <v>2351</v>
      </c>
      <c r="D992" s="651" t="s">
        <v>2041</v>
      </c>
      <c r="E992" s="651" t="s">
        <v>2055</v>
      </c>
      <c r="F992" s="652" t="s">
        <v>2043</v>
      </c>
      <c r="G992" s="689">
        <v>202205061510</v>
      </c>
      <c r="H992" s="651" t="s">
        <v>1798</v>
      </c>
      <c r="I992" s="679" t="s">
        <v>1596</v>
      </c>
      <c r="J992" s="684">
        <v>4956</v>
      </c>
      <c r="K992" s="684">
        <v>54.383499999999998</v>
      </c>
      <c r="L992" s="655">
        <f t="shared" si="98"/>
        <v>91.130581886049995</v>
      </c>
      <c r="M992" s="628">
        <v>60</v>
      </c>
      <c r="N992" s="667">
        <f t="shared" si="99"/>
        <v>82.6</v>
      </c>
      <c r="O992" s="668">
        <f t="shared" ca="1" si="96"/>
        <v>14</v>
      </c>
      <c r="P992" s="655">
        <f t="shared" ca="1" si="97"/>
        <v>3799.6000000000004</v>
      </c>
      <c r="Q992" s="667">
        <f t="shared" ca="1" si="95"/>
        <v>3799.6000000000004</v>
      </c>
      <c r="R992" s="669" t="s">
        <v>2044</v>
      </c>
    </row>
    <row r="993" spans="2:18" ht="35.1" customHeight="1" x14ac:dyDescent="0.25">
      <c r="B993" s="688">
        <v>44883</v>
      </c>
      <c r="C993" s="688" t="s">
        <v>2351</v>
      </c>
      <c r="D993" s="651" t="s">
        <v>2041</v>
      </c>
      <c r="E993" s="651" t="s">
        <v>2056</v>
      </c>
      <c r="F993" s="652" t="s">
        <v>2043</v>
      </c>
      <c r="G993" s="689">
        <v>202205061017</v>
      </c>
      <c r="H993" s="651" t="s">
        <v>1798</v>
      </c>
      <c r="I993" s="679" t="s">
        <v>1596</v>
      </c>
      <c r="J993" s="684">
        <v>4956</v>
      </c>
      <c r="K993" s="684">
        <v>54.383499999999998</v>
      </c>
      <c r="L993" s="655">
        <f t="shared" si="98"/>
        <v>91.130581886049995</v>
      </c>
      <c r="M993" s="628">
        <v>60</v>
      </c>
      <c r="N993" s="667">
        <f t="shared" si="99"/>
        <v>82.6</v>
      </c>
      <c r="O993" s="668">
        <f t="shared" ca="1" si="96"/>
        <v>14</v>
      </c>
      <c r="P993" s="655">
        <f t="shared" ca="1" si="97"/>
        <v>3799.6000000000004</v>
      </c>
      <c r="Q993" s="667">
        <f t="shared" ca="1" si="95"/>
        <v>3799.6000000000004</v>
      </c>
      <c r="R993" s="669" t="s">
        <v>2044</v>
      </c>
    </row>
    <row r="994" spans="2:18" ht="35.1" customHeight="1" x14ac:dyDescent="0.25">
      <c r="B994" s="688">
        <v>44883</v>
      </c>
      <c r="C994" s="688" t="s">
        <v>2351</v>
      </c>
      <c r="D994" s="651" t="s">
        <v>2041</v>
      </c>
      <c r="E994" s="651" t="s">
        <v>2057</v>
      </c>
      <c r="F994" s="652" t="s">
        <v>2043</v>
      </c>
      <c r="G994" s="689">
        <v>202205061026</v>
      </c>
      <c r="H994" s="651" t="s">
        <v>1798</v>
      </c>
      <c r="I994" s="679" t="s">
        <v>1596</v>
      </c>
      <c r="J994" s="684">
        <v>4956</v>
      </c>
      <c r="K994" s="684">
        <v>54.383499999999998</v>
      </c>
      <c r="L994" s="655">
        <f t="shared" si="98"/>
        <v>91.130581886049995</v>
      </c>
      <c r="M994" s="628">
        <v>60</v>
      </c>
      <c r="N994" s="667">
        <f t="shared" si="99"/>
        <v>82.6</v>
      </c>
      <c r="O994" s="668">
        <f t="shared" ca="1" si="96"/>
        <v>14</v>
      </c>
      <c r="P994" s="655">
        <f t="shared" ca="1" si="97"/>
        <v>3799.6000000000004</v>
      </c>
      <c r="Q994" s="667">
        <f t="shared" ca="1" si="95"/>
        <v>3799.6000000000004</v>
      </c>
      <c r="R994" s="669" t="s">
        <v>2044</v>
      </c>
    </row>
    <row r="995" spans="2:18" ht="35.1" customHeight="1" x14ac:dyDescent="0.25">
      <c r="B995" s="688">
        <v>44883</v>
      </c>
      <c r="C995" s="688" t="s">
        <v>2351</v>
      </c>
      <c r="D995" s="651" t="s">
        <v>2041</v>
      </c>
      <c r="E995" s="651" t="s">
        <v>2058</v>
      </c>
      <c r="F995" s="652" t="s">
        <v>2043</v>
      </c>
      <c r="G995" s="689">
        <v>202205061508</v>
      </c>
      <c r="H995" s="651" t="s">
        <v>1798</v>
      </c>
      <c r="I995" s="679" t="s">
        <v>1596</v>
      </c>
      <c r="J995" s="684">
        <v>4956</v>
      </c>
      <c r="K995" s="684">
        <v>54.383499999999998</v>
      </c>
      <c r="L995" s="655">
        <f t="shared" si="98"/>
        <v>91.130581886049995</v>
      </c>
      <c r="M995" s="628">
        <v>60</v>
      </c>
      <c r="N995" s="667">
        <f t="shared" si="99"/>
        <v>82.6</v>
      </c>
      <c r="O995" s="668">
        <f t="shared" ca="1" si="96"/>
        <v>14</v>
      </c>
      <c r="P995" s="655">
        <f t="shared" ca="1" si="97"/>
        <v>3799.6000000000004</v>
      </c>
      <c r="Q995" s="667">
        <f t="shared" ca="1" si="95"/>
        <v>3799.6000000000004</v>
      </c>
      <c r="R995" s="669" t="s">
        <v>2044</v>
      </c>
    </row>
    <row r="996" spans="2:18" ht="35.1" customHeight="1" x14ac:dyDescent="0.25">
      <c r="B996" s="688">
        <v>44883</v>
      </c>
      <c r="C996" s="688" t="s">
        <v>2351</v>
      </c>
      <c r="D996" s="651" t="s">
        <v>2041</v>
      </c>
      <c r="E996" s="651" t="s">
        <v>2059</v>
      </c>
      <c r="F996" s="652" t="s">
        <v>2043</v>
      </c>
      <c r="G996" s="689">
        <v>202205061477</v>
      </c>
      <c r="H996" s="651" t="s">
        <v>1798</v>
      </c>
      <c r="I996" s="679" t="s">
        <v>1596</v>
      </c>
      <c r="J996" s="684">
        <v>4956</v>
      </c>
      <c r="K996" s="684">
        <v>54.383499999999998</v>
      </c>
      <c r="L996" s="655">
        <f t="shared" si="98"/>
        <v>91.130581886049995</v>
      </c>
      <c r="M996" s="628">
        <v>60</v>
      </c>
      <c r="N996" s="667">
        <f t="shared" si="99"/>
        <v>82.6</v>
      </c>
      <c r="O996" s="668">
        <f t="shared" ca="1" si="96"/>
        <v>14</v>
      </c>
      <c r="P996" s="655">
        <f t="shared" ca="1" si="97"/>
        <v>3799.6000000000004</v>
      </c>
      <c r="Q996" s="667">
        <f t="shared" ca="1" si="95"/>
        <v>3799.6000000000004</v>
      </c>
      <c r="R996" s="669" t="s">
        <v>2044</v>
      </c>
    </row>
    <row r="997" spans="2:18" ht="35.1" customHeight="1" x14ac:dyDescent="0.25">
      <c r="B997" s="688">
        <v>44883</v>
      </c>
      <c r="C997" s="688" t="s">
        <v>2351</v>
      </c>
      <c r="D997" s="651" t="s">
        <v>2041</v>
      </c>
      <c r="E997" s="651" t="s">
        <v>2060</v>
      </c>
      <c r="F997" s="652" t="s">
        <v>2043</v>
      </c>
      <c r="G997" s="689">
        <v>202205061504</v>
      </c>
      <c r="H997" s="651" t="s">
        <v>1798</v>
      </c>
      <c r="I997" s="679" t="s">
        <v>1596</v>
      </c>
      <c r="J997" s="684">
        <v>4956</v>
      </c>
      <c r="K997" s="684">
        <v>54.383499999999998</v>
      </c>
      <c r="L997" s="655">
        <f t="shared" si="98"/>
        <v>91.130581886049995</v>
      </c>
      <c r="M997" s="628">
        <v>60</v>
      </c>
      <c r="N997" s="667">
        <f t="shared" si="99"/>
        <v>82.6</v>
      </c>
      <c r="O997" s="668">
        <f t="shared" ca="1" si="96"/>
        <v>14</v>
      </c>
      <c r="P997" s="655">
        <f t="shared" ca="1" si="97"/>
        <v>3799.6000000000004</v>
      </c>
      <c r="Q997" s="667">
        <f t="shared" ca="1" si="95"/>
        <v>3799.6000000000004</v>
      </c>
      <c r="R997" s="669" t="s">
        <v>2044</v>
      </c>
    </row>
    <row r="998" spans="2:18" ht="35.1" customHeight="1" x14ac:dyDescent="0.25">
      <c r="B998" s="688">
        <v>44883</v>
      </c>
      <c r="C998" s="688" t="s">
        <v>2351</v>
      </c>
      <c r="D998" s="651" t="s">
        <v>2041</v>
      </c>
      <c r="E998" s="651" t="s">
        <v>2061</v>
      </c>
      <c r="F998" s="652" t="s">
        <v>2043</v>
      </c>
      <c r="G998" s="689">
        <v>202205061048</v>
      </c>
      <c r="H998" s="651" t="s">
        <v>1798</v>
      </c>
      <c r="I998" s="679" t="s">
        <v>1596</v>
      </c>
      <c r="J998" s="684">
        <v>4956</v>
      </c>
      <c r="K998" s="684">
        <v>54.383499999999998</v>
      </c>
      <c r="L998" s="655">
        <f t="shared" si="98"/>
        <v>91.130581886049995</v>
      </c>
      <c r="M998" s="628">
        <v>60</v>
      </c>
      <c r="N998" s="667">
        <f t="shared" si="99"/>
        <v>82.6</v>
      </c>
      <c r="O998" s="668">
        <f t="shared" ca="1" si="96"/>
        <v>14</v>
      </c>
      <c r="P998" s="655">
        <f t="shared" ca="1" si="97"/>
        <v>3799.6000000000004</v>
      </c>
      <c r="Q998" s="667">
        <f t="shared" ca="1" si="95"/>
        <v>3799.6000000000004</v>
      </c>
      <c r="R998" s="669" t="s">
        <v>2044</v>
      </c>
    </row>
    <row r="999" spans="2:18" ht="35.1" customHeight="1" x14ac:dyDescent="0.25">
      <c r="B999" s="688">
        <v>44883</v>
      </c>
      <c r="C999" s="688" t="s">
        <v>2351</v>
      </c>
      <c r="D999" s="651" t="s">
        <v>2041</v>
      </c>
      <c r="E999" s="651" t="s">
        <v>2062</v>
      </c>
      <c r="F999" s="652" t="s">
        <v>2043</v>
      </c>
      <c r="G999" s="689">
        <v>202205061020</v>
      </c>
      <c r="H999" s="651" t="s">
        <v>1798</v>
      </c>
      <c r="I999" s="679" t="s">
        <v>1596</v>
      </c>
      <c r="J999" s="684">
        <v>4956</v>
      </c>
      <c r="K999" s="684">
        <v>54.383499999999998</v>
      </c>
      <c r="L999" s="655">
        <f t="shared" si="98"/>
        <v>91.130581886049995</v>
      </c>
      <c r="M999" s="628">
        <v>60</v>
      </c>
      <c r="N999" s="667">
        <f t="shared" si="99"/>
        <v>82.6</v>
      </c>
      <c r="O999" s="668">
        <f t="shared" ca="1" si="96"/>
        <v>14</v>
      </c>
      <c r="P999" s="655">
        <f t="shared" ca="1" si="97"/>
        <v>3799.6000000000004</v>
      </c>
      <c r="Q999" s="667">
        <f t="shared" ca="1" si="95"/>
        <v>3799.6000000000004</v>
      </c>
      <c r="R999" s="669" t="s">
        <v>2044</v>
      </c>
    </row>
    <row r="1000" spans="2:18" ht="35.1" customHeight="1" x14ac:dyDescent="0.25">
      <c r="B1000" s="688">
        <v>44883</v>
      </c>
      <c r="C1000" s="688" t="s">
        <v>2351</v>
      </c>
      <c r="D1000" s="651" t="s">
        <v>2041</v>
      </c>
      <c r="E1000" s="651" t="s">
        <v>2063</v>
      </c>
      <c r="F1000" s="652" t="s">
        <v>2043</v>
      </c>
      <c r="G1000" s="689">
        <v>202205061019</v>
      </c>
      <c r="H1000" s="651" t="s">
        <v>1798</v>
      </c>
      <c r="I1000" s="679" t="s">
        <v>1596</v>
      </c>
      <c r="J1000" s="684">
        <v>4956</v>
      </c>
      <c r="K1000" s="684">
        <v>54.383499999999998</v>
      </c>
      <c r="L1000" s="655">
        <f t="shared" si="98"/>
        <v>91.130581886049995</v>
      </c>
      <c r="M1000" s="628">
        <v>60</v>
      </c>
      <c r="N1000" s="667">
        <f t="shared" si="99"/>
        <v>82.6</v>
      </c>
      <c r="O1000" s="668">
        <f t="shared" ca="1" si="96"/>
        <v>14</v>
      </c>
      <c r="P1000" s="655">
        <f t="shared" ca="1" si="97"/>
        <v>3799.6000000000004</v>
      </c>
      <c r="Q1000" s="667">
        <f t="shared" ca="1" si="95"/>
        <v>3799.6000000000004</v>
      </c>
      <c r="R1000" s="669" t="s">
        <v>2044</v>
      </c>
    </row>
    <row r="1001" spans="2:18" ht="35.1" customHeight="1" x14ac:dyDescent="0.25">
      <c r="B1001" s="688">
        <v>44883</v>
      </c>
      <c r="C1001" s="688" t="s">
        <v>2351</v>
      </c>
      <c r="D1001" s="651" t="s">
        <v>2041</v>
      </c>
      <c r="E1001" s="651" t="s">
        <v>2064</v>
      </c>
      <c r="F1001" s="652" t="s">
        <v>2043</v>
      </c>
      <c r="G1001" s="689">
        <v>202205061509</v>
      </c>
      <c r="H1001" s="651" t="s">
        <v>1798</v>
      </c>
      <c r="I1001" s="679" t="s">
        <v>1596</v>
      </c>
      <c r="J1001" s="684">
        <v>4956</v>
      </c>
      <c r="K1001" s="684">
        <v>54.383499999999998</v>
      </c>
      <c r="L1001" s="655">
        <f t="shared" si="98"/>
        <v>91.130581886049995</v>
      </c>
      <c r="M1001" s="628">
        <v>60</v>
      </c>
      <c r="N1001" s="667">
        <f t="shared" si="99"/>
        <v>82.6</v>
      </c>
      <c r="O1001" s="668">
        <f t="shared" ca="1" si="96"/>
        <v>14</v>
      </c>
      <c r="P1001" s="655">
        <f t="shared" ca="1" si="97"/>
        <v>3799.6000000000004</v>
      </c>
      <c r="Q1001" s="667">
        <f t="shared" ca="1" si="95"/>
        <v>3799.6000000000004</v>
      </c>
      <c r="R1001" s="669" t="s">
        <v>2044</v>
      </c>
    </row>
    <row r="1002" spans="2:18" ht="35.1" customHeight="1" x14ac:dyDescent="0.25">
      <c r="B1002" s="688">
        <v>44883</v>
      </c>
      <c r="C1002" s="688" t="s">
        <v>2351</v>
      </c>
      <c r="D1002" s="651" t="s">
        <v>2041</v>
      </c>
      <c r="E1002" s="651" t="s">
        <v>2065</v>
      </c>
      <c r="F1002" s="652" t="s">
        <v>2043</v>
      </c>
      <c r="G1002" s="689">
        <v>202205061479</v>
      </c>
      <c r="H1002" s="651" t="s">
        <v>1798</v>
      </c>
      <c r="I1002" s="679" t="s">
        <v>1596</v>
      </c>
      <c r="J1002" s="684">
        <v>4956</v>
      </c>
      <c r="K1002" s="684">
        <v>54.383499999999998</v>
      </c>
      <c r="L1002" s="655">
        <f t="shared" si="98"/>
        <v>91.130581886049995</v>
      </c>
      <c r="M1002" s="628">
        <v>60</v>
      </c>
      <c r="N1002" s="667">
        <f t="shared" si="99"/>
        <v>82.6</v>
      </c>
      <c r="O1002" s="668">
        <f t="shared" ca="1" si="96"/>
        <v>14</v>
      </c>
      <c r="P1002" s="655">
        <f t="shared" ca="1" si="97"/>
        <v>3799.6000000000004</v>
      </c>
      <c r="Q1002" s="667">
        <f t="shared" ca="1" si="95"/>
        <v>3799.6000000000004</v>
      </c>
      <c r="R1002" s="669" t="s">
        <v>2044</v>
      </c>
    </row>
    <row r="1003" spans="2:18" ht="35.1" customHeight="1" x14ac:dyDescent="0.25">
      <c r="B1003" s="688">
        <v>44883</v>
      </c>
      <c r="C1003" s="688" t="s">
        <v>2351</v>
      </c>
      <c r="D1003" s="651" t="s">
        <v>2041</v>
      </c>
      <c r="E1003" s="651" t="s">
        <v>2066</v>
      </c>
      <c r="F1003" s="652" t="s">
        <v>2043</v>
      </c>
      <c r="G1003" s="689">
        <v>202205061481</v>
      </c>
      <c r="H1003" s="651" t="s">
        <v>1798</v>
      </c>
      <c r="I1003" s="679" t="s">
        <v>1596</v>
      </c>
      <c r="J1003" s="684">
        <v>4956</v>
      </c>
      <c r="K1003" s="684">
        <v>54.383499999999998</v>
      </c>
      <c r="L1003" s="655">
        <f t="shared" si="98"/>
        <v>91.130581886049995</v>
      </c>
      <c r="M1003" s="628">
        <v>60</v>
      </c>
      <c r="N1003" s="667">
        <f t="shared" si="99"/>
        <v>82.6</v>
      </c>
      <c r="O1003" s="668">
        <f t="shared" ca="1" si="96"/>
        <v>14</v>
      </c>
      <c r="P1003" s="655">
        <f t="shared" ca="1" si="97"/>
        <v>3799.6000000000004</v>
      </c>
      <c r="Q1003" s="667">
        <f t="shared" ca="1" si="95"/>
        <v>3799.6000000000004</v>
      </c>
      <c r="R1003" s="669" t="s">
        <v>2044</v>
      </c>
    </row>
    <row r="1004" spans="2:18" ht="35.1" customHeight="1" x14ac:dyDescent="0.25">
      <c r="B1004" s="688">
        <v>44883</v>
      </c>
      <c r="C1004" s="688" t="s">
        <v>2351</v>
      </c>
      <c r="D1004" s="651" t="s">
        <v>2041</v>
      </c>
      <c r="E1004" s="651" t="s">
        <v>2067</v>
      </c>
      <c r="F1004" s="652" t="s">
        <v>2043</v>
      </c>
      <c r="G1004" s="689">
        <v>202205061496</v>
      </c>
      <c r="H1004" s="651" t="s">
        <v>1798</v>
      </c>
      <c r="I1004" s="679" t="s">
        <v>1596</v>
      </c>
      <c r="J1004" s="684">
        <v>4956</v>
      </c>
      <c r="K1004" s="684">
        <v>54.383499999999998</v>
      </c>
      <c r="L1004" s="655">
        <f t="shared" si="98"/>
        <v>91.130581886049995</v>
      </c>
      <c r="M1004" s="628">
        <v>60</v>
      </c>
      <c r="N1004" s="667">
        <f t="shared" si="99"/>
        <v>82.6</v>
      </c>
      <c r="O1004" s="668">
        <f t="shared" ca="1" si="96"/>
        <v>14</v>
      </c>
      <c r="P1004" s="655">
        <f t="shared" ca="1" si="97"/>
        <v>3799.6000000000004</v>
      </c>
      <c r="Q1004" s="667">
        <f t="shared" ca="1" si="95"/>
        <v>3799.6000000000004</v>
      </c>
      <c r="R1004" s="669" t="s">
        <v>2044</v>
      </c>
    </row>
    <row r="1005" spans="2:18" ht="35.1" customHeight="1" x14ac:dyDescent="0.25">
      <c r="B1005" s="688">
        <v>44883</v>
      </c>
      <c r="C1005" s="688" t="s">
        <v>2351</v>
      </c>
      <c r="D1005" s="651" t="s">
        <v>2041</v>
      </c>
      <c r="E1005" s="651" t="s">
        <v>2068</v>
      </c>
      <c r="F1005" s="652" t="s">
        <v>2043</v>
      </c>
      <c r="G1005" s="689">
        <v>202205061503</v>
      </c>
      <c r="H1005" s="651" t="s">
        <v>1798</v>
      </c>
      <c r="I1005" s="679" t="s">
        <v>1596</v>
      </c>
      <c r="J1005" s="684">
        <v>4956</v>
      </c>
      <c r="K1005" s="684">
        <v>54.383499999999998</v>
      </c>
      <c r="L1005" s="655">
        <f t="shared" si="98"/>
        <v>91.130581886049995</v>
      </c>
      <c r="M1005" s="628">
        <v>60</v>
      </c>
      <c r="N1005" s="667">
        <f t="shared" si="99"/>
        <v>82.6</v>
      </c>
      <c r="O1005" s="668">
        <f t="shared" ca="1" si="96"/>
        <v>14</v>
      </c>
      <c r="P1005" s="655">
        <f t="shared" ca="1" si="97"/>
        <v>3799.6000000000004</v>
      </c>
      <c r="Q1005" s="667">
        <f t="shared" ca="1" si="95"/>
        <v>3799.6000000000004</v>
      </c>
      <c r="R1005" s="669" t="s">
        <v>2044</v>
      </c>
    </row>
    <row r="1006" spans="2:18" ht="35.1" customHeight="1" x14ac:dyDescent="0.25">
      <c r="B1006" s="688">
        <v>44883</v>
      </c>
      <c r="C1006" s="688" t="s">
        <v>2351</v>
      </c>
      <c r="D1006" s="651" t="s">
        <v>2041</v>
      </c>
      <c r="E1006" s="651" t="s">
        <v>2069</v>
      </c>
      <c r="F1006" s="652" t="s">
        <v>2043</v>
      </c>
      <c r="G1006" s="689">
        <v>202205061497</v>
      </c>
      <c r="H1006" s="651" t="s">
        <v>1798</v>
      </c>
      <c r="I1006" s="679" t="s">
        <v>1596</v>
      </c>
      <c r="J1006" s="684">
        <v>4956</v>
      </c>
      <c r="K1006" s="684">
        <v>54.383499999999998</v>
      </c>
      <c r="L1006" s="655">
        <f t="shared" si="98"/>
        <v>91.130581886049995</v>
      </c>
      <c r="M1006" s="628">
        <v>60</v>
      </c>
      <c r="N1006" s="667">
        <f t="shared" si="99"/>
        <v>82.6</v>
      </c>
      <c r="O1006" s="668">
        <f t="shared" ca="1" si="96"/>
        <v>14</v>
      </c>
      <c r="P1006" s="655">
        <f t="shared" ca="1" si="97"/>
        <v>3799.6000000000004</v>
      </c>
      <c r="Q1006" s="667">
        <f t="shared" ca="1" si="95"/>
        <v>3799.6000000000004</v>
      </c>
      <c r="R1006" s="669" t="s">
        <v>2044</v>
      </c>
    </row>
    <row r="1007" spans="2:18" ht="35.1" customHeight="1" x14ac:dyDescent="0.25">
      <c r="B1007" s="688">
        <v>44883</v>
      </c>
      <c r="C1007" s="688" t="s">
        <v>2351</v>
      </c>
      <c r="D1007" s="651" t="s">
        <v>2041</v>
      </c>
      <c r="E1007" s="651" t="s">
        <v>2070</v>
      </c>
      <c r="F1007" s="652" t="s">
        <v>2043</v>
      </c>
      <c r="G1007" s="689">
        <v>202205061027</v>
      </c>
      <c r="H1007" s="651" t="s">
        <v>1798</v>
      </c>
      <c r="I1007" s="679" t="s">
        <v>1596</v>
      </c>
      <c r="J1007" s="684">
        <v>4956</v>
      </c>
      <c r="K1007" s="684">
        <v>54.383499999999998</v>
      </c>
      <c r="L1007" s="655">
        <f t="shared" si="98"/>
        <v>91.130581886049995</v>
      </c>
      <c r="M1007" s="628">
        <v>60</v>
      </c>
      <c r="N1007" s="667">
        <f t="shared" si="99"/>
        <v>82.6</v>
      </c>
      <c r="O1007" s="668">
        <f t="shared" ca="1" si="96"/>
        <v>14</v>
      </c>
      <c r="P1007" s="655">
        <f t="shared" ca="1" si="97"/>
        <v>3799.6000000000004</v>
      </c>
      <c r="Q1007" s="667">
        <f t="shared" ca="1" si="95"/>
        <v>3799.6000000000004</v>
      </c>
      <c r="R1007" s="669" t="s">
        <v>2044</v>
      </c>
    </row>
    <row r="1008" spans="2:18" ht="35.1" customHeight="1" x14ac:dyDescent="0.25">
      <c r="B1008" s="688">
        <v>44883</v>
      </c>
      <c r="C1008" s="688" t="s">
        <v>2351</v>
      </c>
      <c r="D1008" s="651" t="s">
        <v>2041</v>
      </c>
      <c r="E1008" s="651" t="s">
        <v>2071</v>
      </c>
      <c r="F1008" s="652" t="s">
        <v>2043</v>
      </c>
      <c r="G1008" s="689">
        <v>202205061507</v>
      </c>
      <c r="H1008" s="651" t="s">
        <v>1798</v>
      </c>
      <c r="I1008" s="679" t="s">
        <v>1596</v>
      </c>
      <c r="J1008" s="684">
        <v>4956</v>
      </c>
      <c r="K1008" s="684">
        <v>54.383499999999998</v>
      </c>
      <c r="L1008" s="655">
        <f t="shared" si="98"/>
        <v>91.130581886049995</v>
      </c>
      <c r="M1008" s="628">
        <v>60</v>
      </c>
      <c r="N1008" s="667">
        <f t="shared" si="99"/>
        <v>82.6</v>
      </c>
      <c r="O1008" s="668">
        <f t="shared" ca="1" si="96"/>
        <v>14</v>
      </c>
      <c r="P1008" s="655">
        <f t="shared" ca="1" si="97"/>
        <v>3799.6000000000004</v>
      </c>
      <c r="Q1008" s="667">
        <f t="shared" ca="1" si="95"/>
        <v>3799.6000000000004</v>
      </c>
      <c r="R1008" s="669" t="s">
        <v>2044</v>
      </c>
    </row>
    <row r="1009" spans="2:18" ht="35.1" customHeight="1" x14ac:dyDescent="0.25">
      <c r="B1009" s="688">
        <v>44883</v>
      </c>
      <c r="C1009" s="688" t="s">
        <v>2351</v>
      </c>
      <c r="D1009" s="651" t="s">
        <v>2041</v>
      </c>
      <c r="E1009" s="651" t="s">
        <v>2072</v>
      </c>
      <c r="F1009" s="652" t="s">
        <v>2043</v>
      </c>
      <c r="G1009" s="689">
        <v>202205061498</v>
      </c>
      <c r="H1009" s="651" t="s">
        <v>1798</v>
      </c>
      <c r="I1009" s="679" t="s">
        <v>1596</v>
      </c>
      <c r="J1009" s="684">
        <v>4956</v>
      </c>
      <c r="K1009" s="684">
        <v>54.383499999999998</v>
      </c>
      <c r="L1009" s="655">
        <f t="shared" si="98"/>
        <v>91.130581886049995</v>
      </c>
      <c r="M1009" s="628">
        <v>60</v>
      </c>
      <c r="N1009" s="667">
        <f t="shared" si="99"/>
        <v>82.6</v>
      </c>
      <c r="O1009" s="668">
        <f t="shared" ca="1" si="96"/>
        <v>14</v>
      </c>
      <c r="P1009" s="655">
        <f t="shared" ca="1" si="97"/>
        <v>3799.6000000000004</v>
      </c>
      <c r="Q1009" s="667">
        <f t="shared" ca="1" si="95"/>
        <v>3799.6000000000004</v>
      </c>
      <c r="R1009" s="669" t="s">
        <v>2044</v>
      </c>
    </row>
    <row r="1010" spans="2:18" ht="35.1" customHeight="1" x14ac:dyDescent="0.25">
      <c r="B1010" s="688">
        <v>44883</v>
      </c>
      <c r="C1010" s="688" t="s">
        <v>2351</v>
      </c>
      <c r="D1010" s="651" t="s">
        <v>2041</v>
      </c>
      <c r="E1010" s="651" t="s">
        <v>2073</v>
      </c>
      <c r="F1010" s="652" t="s">
        <v>2043</v>
      </c>
      <c r="G1010" s="689">
        <v>202205061043</v>
      </c>
      <c r="H1010" s="651" t="s">
        <v>1798</v>
      </c>
      <c r="I1010" s="679" t="s">
        <v>1596</v>
      </c>
      <c r="J1010" s="684">
        <v>4956</v>
      </c>
      <c r="K1010" s="684">
        <v>54.383499999999998</v>
      </c>
      <c r="L1010" s="655">
        <f t="shared" si="98"/>
        <v>91.130581886049995</v>
      </c>
      <c r="M1010" s="628">
        <v>60</v>
      </c>
      <c r="N1010" s="667">
        <f t="shared" si="99"/>
        <v>82.6</v>
      </c>
      <c r="O1010" s="668">
        <f t="shared" ca="1" si="96"/>
        <v>14</v>
      </c>
      <c r="P1010" s="655">
        <f t="shared" ca="1" si="97"/>
        <v>3799.6000000000004</v>
      </c>
      <c r="Q1010" s="667">
        <f t="shared" ca="1" si="95"/>
        <v>3799.6000000000004</v>
      </c>
      <c r="R1010" s="669" t="s">
        <v>2044</v>
      </c>
    </row>
    <row r="1011" spans="2:18" ht="35.1" customHeight="1" x14ac:dyDescent="0.25">
      <c r="B1011" s="688">
        <v>44883</v>
      </c>
      <c r="C1011" s="688" t="s">
        <v>2351</v>
      </c>
      <c r="D1011" s="651" t="s">
        <v>2041</v>
      </c>
      <c r="E1011" s="651" t="s">
        <v>2074</v>
      </c>
      <c r="F1011" s="652" t="s">
        <v>2043</v>
      </c>
      <c r="G1011" s="689">
        <v>202205061493</v>
      </c>
      <c r="H1011" s="651" t="s">
        <v>1798</v>
      </c>
      <c r="I1011" s="679" t="s">
        <v>1596</v>
      </c>
      <c r="J1011" s="684">
        <v>4956</v>
      </c>
      <c r="K1011" s="684">
        <v>54.383499999999998</v>
      </c>
      <c r="L1011" s="655">
        <f t="shared" si="98"/>
        <v>91.130581886049995</v>
      </c>
      <c r="M1011" s="628">
        <v>60</v>
      </c>
      <c r="N1011" s="667">
        <f t="shared" si="99"/>
        <v>82.6</v>
      </c>
      <c r="O1011" s="668">
        <f t="shared" ca="1" si="96"/>
        <v>14</v>
      </c>
      <c r="P1011" s="655">
        <f t="shared" ca="1" si="97"/>
        <v>3799.6000000000004</v>
      </c>
      <c r="Q1011" s="667">
        <f t="shared" ca="1" si="95"/>
        <v>3799.6000000000004</v>
      </c>
      <c r="R1011" s="669" t="s">
        <v>2044</v>
      </c>
    </row>
    <row r="1012" spans="2:18" ht="35.1" customHeight="1" x14ac:dyDescent="0.25">
      <c r="B1012" s="688">
        <v>44883</v>
      </c>
      <c r="C1012" s="688" t="s">
        <v>2351</v>
      </c>
      <c r="D1012" s="651" t="s">
        <v>2041</v>
      </c>
      <c r="E1012" s="651" t="s">
        <v>2075</v>
      </c>
      <c r="F1012" s="652" t="s">
        <v>2043</v>
      </c>
      <c r="G1012" s="689">
        <v>202205061475</v>
      </c>
      <c r="H1012" s="651" t="s">
        <v>1798</v>
      </c>
      <c r="I1012" s="679" t="s">
        <v>1596</v>
      </c>
      <c r="J1012" s="684">
        <v>4956</v>
      </c>
      <c r="K1012" s="684">
        <v>54.383499999999998</v>
      </c>
      <c r="L1012" s="655">
        <f t="shared" si="98"/>
        <v>91.130581886049995</v>
      </c>
      <c r="M1012" s="628">
        <v>60</v>
      </c>
      <c r="N1012" s="667">
        <f t="shared" si="99"/>
        <v>82.6</v>
      </c>
      <c r="O1012" s="668">
        <f t="shared" ca="1" si="96"/>
        <v>14</v>
      </c>
      <c r="P1012" s="655">
        <f t="shared" ca="1" si="97"/>
        <v>3799.6000000000004</v>
      </c>
      <c r="Q1012" s="667">
        <f t="shared" ca="1" si="95"/>
        <v>3799.6000000000004</v>
      </c>
      <c r="R1012" s="669" t="s">
        <v>2044</v>
      </c>
    </row>
    <row r="1013" spans="2:18" ht="35.1" customHeight="1" x14ac:dyDescent="0.25">
      <c r="B1013" s="688">
        <v>44883</v>
      </c>
      <c r="C1013" s="688" t="s">
        <v>2351</v>
      </c>
      <c r="D1013" s="651" t="s">
        <v>2041</v>
      </c>
      <c r="E1013" s="651" t="s">
        <v>2076</v>
      </c>
      <c r="F1013" s="652" t="s">
        <v>2043</v>
      </c>
      <c r="G1013" s="689">
        <v>202205061478</v>
      </c>
      <c r="H1013" s="651" t="s">
        <v>1798</v>
      </c>
      <c r="I1013" s="679" t="s">
        <v>1596</v>
      </c>
      <c r="J1013" s="684">
        <v>4956</v>
      </c>
      <c r="K1013" s="684">
        <v>54.383499999999998</v>
      </c>
      <c r="L1013" s="655">
        <f t="shared" si="98"/>
        <v>91.130581886049995</v>
      </c>
      <c r="M1013" s="628">
        <v>60</v>
      </c>
      <c r="N1013" s="667">
        <f t="shared" si="99"/>
        <v>82.6</v>
      </c>
      <c r="O1013" s="668">
        <f t="shared" ca="1" si="96"/>
        <v>14</v>
      </c>
      <c r="P1013" s="655">
        <f t="shared" ca="1" si="97"/>
        <v>3799.6000000000004</v>
      </c>
      <c r="Q1013" s="667">
        <f t="shared" ca="1" si="95"/>
        <v>3799.6000000000004</v>
      </c>
      <c r="R1013" s="669" t="s">
        <v>2044</v>
      </c>
    </row>
    <row r="1014" spans="2:18" ht="35.1" customHeight="1" x14ac:dyDescent="0.25">
      <c r="B1014" s="688">
        <v>44883</v>
      </c>
      <c r="C1014" s="688" t="s">
        <v>2351</v>
      </c>
      <c r="D1014" s="651" t="s">
        <v>2041</v>
      </c>
      <c r="E1014" s="651" t="s">
        <v>2077</v>
      </c>
      <c r="F1014" s="652" t="s">
        <v>2043</v>
      </c>
      <c r="G1014" s="689">
        <v>202205061511</v>
      </c>
      <c r="H1014" s="651" t="s">
        <v>1798</v>
      </c>
      <c r="I1014" s="679" t="s">
        <v>1596</v>
      </c>
      <c r="J1014" s="684">
        <v>4956</v>
      </c>
      <c r="K1014" s="684">
        <v>54.383499999999998</v>
      </c>
      <c r="L1014" s="655">
        <f t="shared" si="98"/>
        <v>91.130581886049995</v>
      </c>
      <c r="M1014" s="628">
        <v>60</v>
      </c>
      <c r="N1014" s="667">
        <f t="shared" si="99"/>
        <v>82.6</v>
      </c>
      <c r="O1014" s="668">
        <f t="shared" ca="1" si="96"/>
        <v>14</v>
      </c>
      <c r="P1014" s="655">
        <f t="shared" ca="1" si="97"/>
        <v>3799.6000000000004</v>
      </c>
      <c r="Q1014" s="667">
        <f t="shared" ca="1" si="95"/>
        <v>3799.6000000000004</v>
      </c>
      <c r="R1014" s="669" t="s">
        <v>2044</v>
      </c>
    </row>
    <row r="1015" spans="2:18" ht="35.1" customHeight="1" x14ac:dyDescent="0.25">
      <c r="B1015" s="688">
        <v>44883</v>
      </c>
      <c r="C1015" s="688" t="s">
        <v>2351</v>
      </c>
      <c r="D1015" s="651" t="s">
        <v>2041</v>
      </c>
      <c r="E1015" s="651" t="s">
        <v>2078</v>
      </c>
      <c r="F1015" s="652" t="s">
        <v>2043</v>
      </c>
      <c r="G1015" s="689">
        <v>202205061490</v>
      </c>
      <c r="H1015" s="651" t="s">
        <v>1798</v>
      </c>
      <c r="I1015" s="679" t="s">
        <v>1596</v>
      </c>
      <c r="J1015" s="684">
        <v>4956</v>
      </c>
      <c r="K1015" s="684">
        <v>54.383499999999998</v>
      </c>
      <c r="L1015" s="655">
        <f t="shared" si="98"/>
        <v>91.130581886049995</v>
      </c>
      <c r="M1015" s="628">
        <v>60</v>
      </c>
      <c r="N1015" s="667">
        <f t="shared" si="99"/>
        <v>82.6</v>
      </c>
      <c r="O1015" s="668">
        <f t="shared" ca="1" si="96"/>
        <v>14</v>
      </c>
      <c r="P1015" s="655">
        <f t="shared" ca="1" si="97"/>
        <v>3799.6000000000004</v>
      </c>
      <c r="Q1015" s="667">
        <f t="shared" ca="1" si="95"/>
        <v>3799.6000000000004</v>
      </c>
      <c r="R1015" s="669" t="s">
        <v>2044</v>
      </c>
    </row>
    <row r="1016" spans="2:18" ht="35.1" customHeight="1" x14ac:dyDescent="0.25">
      <c r="B1016" s="688">
        <v>44883</v>
      </c>
      <c r="C1016" s="688" t="s">
        <v>2351</v>
      </c>
      <c r="D1016" s="651" t="s">
        <v>2041</v>
      </c>
      <c r="E1016" s="651" t="s">
        <v>2079</v>
      </c>
      <c r="F1016" s="652" t="s">
        <v>2043</v>
      </c>
      <c r="G1016" s="689">
        <v>202205061484</v>
      </c>
      <c r="H1016" s="651" t="s">
        <v>1798</v>
      </c>
      <c r="I1016" s="679" t="s">
        <v>1596</v>
      </c>
      <c r="J1016" s="684">
        <v>4956</v>
      </c>
      <c r="K1016" s="684">
        <v>54.383499999999998</v>
      </c>
      <c r="L1016" s="655">
        <f t="shared" si="98"/>
        <v>91.130581886049995</v>
      </c>
      <c r="M1016" s="628">
        <v>60</v>
      </c>
      <c r="N1016" s="667">
        <f t="shared" si="99"/>
        <v>82.6</v>
      </c>
      <c r="O1016" s="668">
        <f t="shared" ca="1" si="96"/>
        <v>14</v>
      </c>
      <c r="P1016" s="655">
        <f t="shared" ca="1" si="97"/>
        <v>3799.6000000000004</v>
      </c>
      <c r="Q1016" s="667">
        <f t="shared" ca="1" si="95"/>
        <v>3799.6000000000004</v>
      </c>
      <c r="R1016" s="669" t="s">
        <v>2044</v>
      </c>
    </row>
    <row r="1017" spans="2:18" ht="35.1" customHeight="1" x14ac:dyDescent="0.25">
      <c r="B1017" s="688">
        <v>44883</v>
      </c>
      <c r="C1017" s="688" t="s">
        <v>2351</v>
      </c>
      <c r="D1017" s="651" t="s">
        <v>2041</v>
      </c>
      <c r="E1017" s="651" t="s">
        <v>2080</v>
      </c>
      <c r="F1017" s="652" t="s">
        <v>2043</v>
      </c>
      <c r="G1017" s="689">
        <v>202205061472</v>
      </c>
      <c r="H1017" s="651" t="s">
        <v>1798</v>
      </c>
      <c r="I1017" s="679" t="s">
        <v>1596</v>
      </c>
      <c r="J1017" s="684">
        <v>4956</v>
      </c>
      <c r="K1017" s="684">
        <v>54.383499999999998</v>
      </c>
      <c r="L1017" s="655">
        <f t="shared" si="98"/>
        <v>91.130581886049995</v>
      </c>
      <c r="M1017" s="628">
        <v>60</v>
      </c>
      <c r="N1017" s="667">
        <f t="shared" si="99"/>
        <v>82.6</v>
      </c>
      <c r="O1017" s="668">
        <f t="shared" ca="1" si="96"/>
        <v>14</v>
      </c>
      <c r="P1017" s="655">
        <f t="shared" ca="1" si="97"/>
        <v>3799.6000000000004</v>
      </c>
      <c r="Q1017" s="667">
        <f t="shared" ca="1" si="95"/>
        <v>3799.6000000000004</v>
      </c>
      <c r="R1017" s="669" t="s">
        <v>2044</v>
      </c>
    </row>
    <row r="1018" spans="2:18" ht="35.1" customHeight="1" x14ac:dyDescent="0.25">
      <c r="B1018" s="688">
        <v>44883</v>
      </c>
      <c r="C1018" s="688" t="s">
        <v>2351</v>
      </c>
      <c r="D1018" s="651" t="s">
        <v>2041</v>
      </c>
      <c r="E1018" s="651" t="s">
        <v>2081</v>
      </c>
      <c r="F1018" s="652" t="s">
        <v>2043</v>
      </c>
      <c r="G1018" s="689">
        <v>202205061501</v>
      </c>
      <c r="H1018" s="651" t="s">
        <v>1798</v>
      </c>
      <c r="I1018" s="679" t="s">
        <v>1596</v>
      </c>
      <c r="J1018" s="684">
        <v>4956</v>
      </c>
      <c r="K1018" s="684">
        <v>54.383499999999998</v>
      </c>
      <c r="L1018" s="655">
        <f t="shared" si="98"/>
        <v>91.130581886049995</v>
      </c>
      <c r="M1018" s="628">
        <v>60</v>
      </c>
      <c r="N1018" s="667">
        <f t="shared" si="99"/>
        <v>82.6</v>
      </c>
      <c r="O1018" s="668">
        <f t="shared" ca="1" si="96"/>
        <v>14</v>
      </c>
      <c r="P1018" s="655">
        <f t="shared" ca="1" si="97"/>
        <v>3799.6000000000004</v>
      </c>
      <c r="Q1018" s="667">
        <f t="shared" ca="1" si="95"/>
        <v>3799.6000000000004</v>
      </c>
      <c r="R1018" s="669" t="s">
        <v>2044</v>
      </c>
    </row>
    <row r="1019" spans="2:18" ht="35.1" customHeight="1" x14ac:dyDescent="0.25">
      <c r="B1019" s="688">
        <v>44883</v>
      </c>
      <c r="C1019" s="688" t="s">
        <v>2351</v>
      </c>
      <c r="D1019" s="651" t="s">
        <v>2041</v>
      </c>
      <c r="E1019" s="651" t="s">
        <v>2082</v>
      </c>
      <c r="F1019" s="652" t="s">
        <v>2043</v>
      </c>
      <c r="G1019" s="689">
        <v>202205061495</v>
      </c>
      <c r="H1019" s="651" t="s">
        <v>1798</v>
      </c>
      <c r="I1019" s="679" t="s">
        <v>1596</v>
      </c>
      <c r="J1019" s="684">
        <v>4956</v>
      </c>
      <c r="K1019" s="684">
        <v>54.383499999999998</v>
      </c>
      <c r="L1019" s="655">
        <f t="shared" si="98"/>
        <v>91.130581886049995</v>
      </c>
      <c r="M1019" s="628">
        <v>60</v>
      </c>
      <c r="N1019" s="667">
        <f t="shared" si="99"/>
        <v>82.6</v>
      </c>
      <c r="O1019" s="668">
        <f t="shared" ca="1" si="96"/>
        <v>14</v>
      </c>
      <c r="P1019" s="655">
        <f t="shared" ca="1" si="97"/>
        <v>3799.6000000000004</v>
      </c>
      <c r="Q1019" s="667">
        <f t="shared" ca="1" si="95"/>
        <v>3799.6000000000004</v>
      </c>
      <c r="R1019" s="669" t="s">
        <v>2044</v>
      </c>
    </row>
    <row r="1020" spans="2:18" ht="35.1" customHeight="1" x14ac:dyDescent="0.25">
      <c r="B1020" s="688">
        <v>44883</v>
      </c>
      <c r="C1020" s="688" t="s">
        <v>2351</v>
      </c>
      <c r="D1020" s="651" t="s">
        <v>2041</v>
      </c>
      <c r="E1020" s="651" t="s">
        <v>2083</v>
      </c>
      <c r="F1020" s="652" t="s">
        <v>2043</v>
      </c>
      <c r="G1020" s="689">
        <v>202205061505</v>
      </c>
      <c r="H1020" s="651" t="s">
        <v>1798</v>
      </c>
      <c r="I1020" s="679" t="s">
        <v>1596</v>
      </c>
      <c r="J1020" s="684">
        <v>4956</v>
      </c>
      <c r="K1020" s="684">
        <v>54.383499999999998</v>
      </c>
      <c r="L1020" s="655">
        <f t="shared" si="98"/>
        <v>91.130581886049995</v>
      </c>
      <c r="M1020" s="628">
        <v>60</v>
      </c>
      <c r="N1020" s="667">
        <f t="shared" si="99"/>
        <v>82.6</v>
      </c>
      <c r="O1020" s="668">
        <f t="shared" ca="1" si="96"/>
        <v>14</v>
      </c>
      <c r="P1020" s="655">
        <f t="shared" ca="1" si="97"/>
        <v>3799.6000000000004</v>
      </c>
      <c r="Q1020" s="667">
        <f t="shared" ca="1" si="95"/>
        <v>3799.6000000000004</v>
      </c>
      <c r="R1020" s="669" t="s">
        <v>2044</v>
      </c>
    </row>
    <row r="1021" spans="2:18" ht="35.1" customHeight="1" x14ac:dyDescent="0.25">
      <c r="B1021" s="688">
        <v>44883</v>
      </c>
      <c r="C1021" s="688" t="s">
        <v>2351</v>
      </c>
      <c r="D1021" s="651" t="s">
        <v>2041</v>
      </c>
      <c r="E1021" s="651" t="s">
        <v>2084</v>
      </c>
      <c r="F1021" s="652" t="s">
        <v>2043</v>
      </c>
      <c r="G1021" s="689">
        <v>202205061486</v>
      </c>
      <c r="H1021" s="651" t="s">
        <v>1798</v>
      </c>
      <c r="I1021" s="679" t="s">
        <v>1596</v>
      </c>
      <c r="J1021" s="684">
        <v>4956</v>
      </c>
      <c r="K1021" s="684">
        <v>54.383499999999998</v>
      </c>
      <c r="L1021" s="655">
        <f t="shared" si="98"/>
        <v>91.130581886049995</v>
      </c>
      <c r="M1021" s="628">
        <v>60</v>
      </c>
      <c r="N1021" s="667">
        <f t="shared" si="99"/>
        <v>82.6</v>
      </c>
      <c r="O1021" s="668">
        <f t="shared" ca="1" si="96"/>
        <v>14</v>
      </c>
      <c r="P1021" s="655">
        <f t="shared" ca="1" si="97"/>
        <v>3799.6000000000004</v>
      </c>
      <c r="Q1021" s="667">
        <f t="shared" ca="1" si="95"/>
        <v>3799.6000000000004</v>
      </c>
      <c r="R1021" s="669" t="s">
        <v>2044</v>
      </c>
    </row>
    <row r="1022" spans="2:18" ht="35.1" customHeight="1" x14ac:dyDescent="0.25">
      <c r="B1022" s="688">
        <v>44883</v>
      </c>
      <c r="C1022" s="688" t="s">
        <v>2351</v>
      </c>
      <c r="D1022" s="651" t="s">
        <v>2041</v>
      </c>
      <c r="E1022" s="651" t="s">
        <v>2085</v>
      </c>
      <c r="F1022" s="652" t="s">
        <v>2043</v>
      </c>
      <c r="G1022" s="689">
        <v>202205061489</v>
      </c>
      <c r="H1022" s="651" t="s">
        <v>1798</v>
      </c>
      <c r="I1022" s="679" t="s">
        <v>1596</v>
      </c>
      <c r="J1022" s="684">
        <v>4956</v>
      </c>
      <c r="K1022" s="684">
        <v>54.383499999999998</v>
      </c>
      <c r="L1022" s="655">
        <f t="shared" si="98"/>
        <v>91.130581886049995</v>
      </c>
      <c r="M1022" s="628">
        <v>60</v>
      </c>
      <c r="N1022" s="667">
        <f t="shared" si="99"/>
        <v>82.6</v>
      </c>
      <c r="O1022" s="668">
        <f t="shared" ca="1" si="96"/>
        <v>14</v>
      </c>
      <c r="P1022" s="655">
        <f t="shared" ca="1" si="97"/>
        <v>3799.6000000000004</v>
      </c>
      <c r="Q1022" s="667">
        <f t="shared" ca="1" si="95"/>
        <v>3799.6000000000004</v>
      </c>
      <c r="R1022" s="669" t="s">
        <v>2044</v>
      </c>
    </row>
    <row r="1023" spans="2:18" ht="35.1" customHeight="1" x14ac:dyDescent="0.25">
      <c r="B1023" s="688">
        <v>44883</v>
      </c>
      <c r="C1023" s="688" t="s">
        <v>2351</v>
      </c>
      <c r="D1023" s="651" t="s">
        <v>2041</v>
      </c>
      <c r="E1023" s="651" t="s">
        <v>2086</v>
      </c>
      <c r="F1023" s="652" t="s">
        <v>2043</v>
      </c>
      <c r="G1023" s="689">
        <v>202205061506</v>
      </c>
      <c r="H1023" s="651" t="s">
        <v>1798</v>
      </c>
      <c r="I1023" s="679" t="s">
        <v>1596</v>
      </c>
      <c r="J1023" s="684">
        <v>4956</v>
      </c>
      <c r="K1023" s="684">
        <v>54.383499999999998</v>
      </c>
      <c r="L1023" s="655">
        <f t="shared" si="98"/>
        <v>91.130581886049995</v>
      </c>
      <c r="M1023" s="628">
        <v>60</v>
      </c>
      <c r="N1023" s="667">
        <f t="shared" si="99"/>
        <v>82.6</v>
      </c>
      <c r="O1023" s="668">
        <f t="shared" ca="1" si="96"/>
        <v>14</v>
      </c>
      <c r="P1023" s="655">
        <f t="shared" ca="1" si="97"/>
        <v>3799.6000000000004</v>
      </c>
      <c r="Q1023" s="667">
        <f t="shared" ca="1" si="95"/>
        <v>3799.6000000000004</v>
      </c>
      <c r="R1023" s="669" t="s">
        <v>2044</v>
      </c>
    </row>
    <row r="1024" spans="2:18" ht="35.1" customHeight="1" x14ac:dyDescent="0.25">
      <c r="B1024" s="688">
        <v>44883</v>
      </c>
      <c r="C1024" s="688" t="s">
        <v>2351</v>
      </c>
      <c r="D1024" s="651" t="s">
        <v>2041</v>
      </c>
      <c r="E1024" s="651" t="s">
        <v>2087</v>
      </c>
      <c r="F1024" s="652" t="s">
        <v>2043</v>
      </c>
      <c r="G1024" s="689">
        <v>202205061487</v>
      </c>
      <c r="H1024" s="651" t="s">
        <v>1798</v>
      </c>
      <c r="I1024" s="679" t="s">
        <v>1596</v>
      </c>
      <c r="J1024" s="684">
        <v>4956</v>
      </c>
      <c r="K1024" s="684">
        <v>54.383499999999998</v>
      </c>
      <c r="L1024" s="655">
        <f t="shared" si="98"/>
        <v>91.130581886049995</v>
      </c>
      <c r="M1024" s="628">
        <v>60</v>
      </c>
      <c r="N1024" s="667">
        <f t="shared" si="99"/>
        <v>82.6</v>
      </c>
      <c r="O1024" s="668">
        <f t="shared" ca="1" si="96"/>
        <v>14</v>
      </c>
      <c r="P1024" s="655">
        <f t="shared" ca="1" si="97"/>
        <v>3799.6000000000004</v>
      </c>
      <c r="Q1024" s="667">
        <f t="shared" ca="1" si="95"/>
        <v>3799.6000000000004</v>
      </c>
      <c r="R1024" s="669" t="s">
        <v>2044</v>
      </c>
    </row>
    <row r="1025" spans="2:18" ht="35.1" customHeight="1" x14ac:dyDescent="0.25">
      <c r="B1025" s="688">
        <v>44883</v>
      </c>
      <c r="C1025" s="688" t="s">
        <v>2351</v>
      </c>
      <c r="D1025" s="651" t="s">
        <v>2041</v>
      </c>
      <c r="E1025" s="651" t="s">
        <v>2088</v>
      </c>
      <c r="F1025" s="652" t="s">
        <v>2043</v>
      </c>
      <c r="G1025" s="689">
        <v>202205061032</v>
      </c>
      <c r="H1025" s="651" t="s">
        <v>1798</v>
      </c>
      <c r="I1025" s="679" t="s">
        <v>1596</v>
      </c>
      <c r="J1025" s="684">
        <v>4956</v>
      </c>
      <c r="K1025" s="684">
        <v>54.383499999999998</v>
      </c>
      <c r="L1025" s="655">
        <f t="shared" si="98"/>
        <v>91.130581886049995</v>
      </c>
      <c r="M1025" s="628">
        <v>60</v>
      </c>
      <c r="N1025" s="667">
        <f t="shared" si="99"/>
        <v>82.6</v>
      </c>
      <c r="O1025" s="668">
        <f t="shared" ca="1" si="96"/>
        <v>14</v>
      </c>
      <c r="P1025" s="655">
        <f t="shared" ca="1" si="97"/>
        <v>3799.6000000000004</v>
      </c>
      <c r="Q1025" s="667">
        <f t="shared" ca="1" si="95"/>
        <v>3799.6000000000004</v>
      </c>
      <c r="R1025" s="669" t="s">
        <v>2044</v>
      </c>
    </row>
    <row r="1026" spans="2:18" ht="35.1" customHeight="1" x14ac:dyDescent="0.25">
      <c r="B1026" s="688">
        <v>44883</v>
      </c>
      <c r="C1026" s="688" t="s">
        <v>2351</v>
      </c>
      <c r="D1026" s="651" t="s">
        <v>2041</v>
      </c>
      <c r="E1026" s="651" t="s">
        <v>2089</v>
      </c>
      <c r="F1026" s="652" t="s">
        <v>2043</v>
      </c>
      <c r="G1026" s="689">
        <v>202205061491</v>
      </c>
      <c r="H1026" s="651" t="s">
        <v>1798</v>
      </c>
      <c r="I1026" s="679" t="s">
        <v>1596</v>
      </c>
      <c r="J1026" s="684">
        <v>4956</v>
      </c>
      <c r="K1026" s="684">
        <v>54.383499999999998</v>
      </c>
      <c r="L1026" s="655">
        <f t="shared" si="98"/>
        <v>91.130581886049995</v>
      </c>
      <c r="M1026" s="628">
        <v>60</v>
      </c>
      <c r="N1026" s="667">
        <f t="shared" si="99"/>
        <v>82.6</v>
      </c>
      <c r="O1026" s="668">
        <f t="shared" ca="1" si="96"/>
        <v>14</v>
      </c>
      <c r="P1026" s="655">
        <f t="shared" ca="1" si="97"/>
        <v>3799.6000000000004</v>
      </c>
      <c r="Q1026" s="667">
        <f t="shared" ca="1" si="95"/>
        <v>3799.6000000000004</v>
      </c>
      <c r="R1026" s="669" t="s">
        <v>2044</v>
      </c>
    </row>
    <row r="1027" spans="2:18" ht="35.1" customHeight="1" x14ac:dyDescent="0.25">
      <c r="B1027" s="688">
        <v>44883</v>
      </c>
      <c r="C1027" s="688" t="s">
        <v>2351</v>
      </c>
      <c r="D1027" s="651" t="s">
        <v>2041</v>
      </c>
      <c r="E1027" s="651" t="s">
        <v>2090</v>
      </c>
      <c r="F1027" s="652" t="s">
        <v>2043</v>
      </c>
      <c r="G1027" s="689">
        <v>202205061474</v>
      </c>
      <c r="H1027" s="651" t="s">
        <v>1798</v>
      </c>
      <c r="I1027" s="679" t="s">
        <v>1596</v>
      </c>
      <c r="J1027" s="684">
        <v>4956</v>
      </c>
      <c r="K1027" s="684">
        <v>54.383499999999998</v>
      </c>
      <c r="L1027" s="655">
        <f t="shared" si="98"/>
        <v>91.130581886049995</v>
      </c>
      <c r="M1027" s="628">
        <v>60</v>
      </c>
      <c r="N1027" s="667">
        <f t="shared" si="99"/>
        <v>82.6</v>
      </c>
      <c r="O1027" s="668">
        <f t="shared" ca="1" si="96"/>
        <v>14</v>
      </c>
      <c r="P1027" s="655">
        <f t="shared" ca="1" si="97"/>
        <v>3799.6000000000004</v>
      </c>
      <c r="Q1027" s="667">
        <f t="shared" ca="1" si="95"/>
        <v>3799.6000000000004</v>
      </c>
      <c r="R1027" s="669" t="s">
        <v>2044</v>
      </c>
    </row>
    <row r="1028" spans="2:18" ht="35.1" customHeight="1" x14ac:dyDescent="0.25">
      <c r="B1028" s="688">
        <v>44883</v>
      </c>
      <c r="C1028" s="688" t="s">
        <v>2351</v>
      </c>
      <c r="D1028" s="651" t="s">
        <v>2041</v>
      </c>
      <c r="E1028" s="651" t="s">
        <v>2091</v>
      </c>
      <c r="F1028" s="652" t="s">
        <v>2043</v>
      </c>
      <c r="G1028" s="689">
        <v>202205061471</v>
      </c>
      <c r="H1028" s="651" t="s">
        <v>1798</v>
      </c>
      <c r="I1028" s="679" t="s">
        <v>1596</v>
      </c>
      <c r="J1028" s="684">
        <v>4956</v>
      </c>
      <c r="K1028" s="684">
        <v>54.383499999999998</v>
      </c>
      <c r="L1028" s="655">
        <f t="shared" si="98"/>
        <v>91.130581886049995</v>
      </c>
      <c r="M1028" s="628">
        <v>60</v>
      </c>
      <c r="N1028" s="667">
        <f t="shared" si="99"/>
        <v>82.6</v>
      </c>
      <c r="O1028" s="668">
        <f t="shared" ca="1" si="96"/>
        <v>14</v>
      </c>
      <c r="P1028" s="655">
        <f t="shared" ca="1" si="97"/>
        <v>3799.6000000000004</v>
      </c>
      <c r="Q1028" s="667">
        <f t="shared" ca="1" si="95"/>
        <v>3799.6000000000004</v>
      </c>
      <c r="R1028" s="669" t="s">
        <v>2044</v>
      </c>
    </row>
    <row r="1029" spans="2:18" ht="35.1" customHeight="1" x14ac:dyDescent="0.25">
      <c r="B1029" s="688">
        <v>44883</v>
      </c>
      <c r="C1029" s="688" t="s">
        <v>2351</v>
      </c>
      <c r="D1029" s="651" t="s">
        <v>2041</v>
      </c>
      <c r="E1029" s="651" t="s">
        <v>2092</v>
      </c>
      <c r="F1029" s="652" t="s">
        <v>2043</v>
      </c>
      <c r="G1029" s="689">
        <v>202205061494</v>
      </c>
      <c r="H1029" s="651" t="s">
        <v>1798</v>
      </c>
      <c r="I1029" s="679" t="s">
        <v>1596</v>
      </c>
      <c r="J1029" s="684">
        <v>4956</v>
      </c>
      <c r="K1029" s="684">
        <v>54.383499999999998</v>
      </c>
      <c r="L1029" s="655">
        <f t="shared" si="98"/>
        <v>91.130581886049995</v>
      </c>
      <c r="M1029" s="628">
        <v>60</v>
      </c>
      <c r="N1029" s="667">
        <f t="shared" si="99"/>
        <v>82.6</v>
      </c>
      <c r="O1029" s="668">
        <f t="shared" ca="1" si="96"/>
        <v>14</v>
      </c>
      <c r="P1029" s="655">
        <f t="shared" ca="1" si="97"/>
        <v>3799.6000000000004</v>
      </c>
      <c r="Q1029" s="667">
        <f t="shared" ca="1" si="95"/>
        <v>3799.6000000000004</v>
      </c>
      <c r="R1029" s="669" t="s">
        <v>2044</v>
      </c>
    </row>
    <row r="1030" spans="2:18" ht="35.1" customHeight="1" x14ac:dyDescent="0.25">
      <c r="B1030" s="688">
        <v>44883</v>
      </c>
      <c r="C1030" s="688" t="s">
        <v>2351</v>
      </c>
      <c r="D1030" s="651" t="s">
        <v>2041</v>
      </c>
      <c r="E1030" s="651" t="s">
        <v>2093</v>
      </c>
      <c r="F1030" s="652" t="s">
        <v>2043</v>
      </c>
      <c r="G1030" s="689">
        <v>202205061018</v>
      </c>
      <c r="H1030" s="651" t="s">
        <v>1798</v>
      </c>
      <c r="I1030" s="679" t="s">
        <v>1596</v>
      </c>
      <c r="J1030" s="684">
        <v>4956</v>
      </c>
      <c r="K1030" s="684">
        <v>54.383499999999998</v>
      </c>
      <c r="L1030" s="655">
        <f t="shared" si="98"/>
        <v>91.130581886049995</v>
      </c>
      <c r="M1030" s="628">
        <v>60</v>
      </c>
      <c r="N1030" s="667">
        <f t="shared" si="99"/>
        <v>82.6</v>
      </c>
      <c r="O1030" s="668">
        <f t="shared" ca="1" si="96"/>
        <v>14</v>
      </c>
      <c r="P1030" s="655">
        <f t="shared" ca="1" si="97"/>
        <v>3799.6000000000004</v>
      </c>
      <c r="Q1030" s="667">
        <f t="shared" ca="1" si="95"/>
        <v>3799.6000000000004</v>
      </c>
      <c r="R1030" s="669" t="s">
        <v>2044</v>
      </c>
    </row>
    <row r="1031" spans="2:18" ht="35.1" customHeight="1" x14ac:dyDescent="0.25">
      <c r="B1031" s="688">
        <v>44883</v>
      </c>
      <c r="C1031" s="688" t="s">
        <v>2351</v>
      </c>
      <c r="D1031" s="651" t="s">
        <v>2041</v>
      </c>
      <c r="E1031" s="651" t="s">
        <v>2094</v>
      </c>
      <c r="F1031" s="652" t="s">
        <v>2043</v>
      </c>
      <c r="G1031" s="689">
        <v>202205061488</v>
      </c>
      <c r="H1031" s="651" t="s">
        <v>1798</v>
      </c>
      <c r="I1031" s="679" t="s">
        <v>1596</v>
      </c>
      <c r="J1031" s="684">
        <v>4956</v>
      </c>
      <c r="K1031" s="684">
        <v>54.383499999999998</v>
      </c>
      <c r="L1031" s="655">
        <f t="shared" si="98"/>
        <v>91.130581886049995</v>
      </c>
      <c r="M1031" s="628">
        <v>60</v>
      </c>
      <c r="N1031" s="667">
        <f t="shared" si="99"/>
        <v>82.6</v>
      </c>
      <c r="O1031" s="668">
        <f t="shared" ca="1" si="96"/>
        <v>14</v>
      </c>
      <c r="P1031" s="655">
        <f t="shared" ca="1" si="97"/>
        <v>3799.6000000000004</v>
      </c>
      <c r="Q1031" s="667">
        <f t="shared" ca="1" si="95"/>
        <v>3799.6000000000004</v>
      </c>
      <c r="R1031" s="669" t="s">
        <v>2044</v>
      </c>
    </row>
    <row r="1032" spans="2:18" ht="35.1" customHeight="1" x14ac:dyDescent="0.25">
      <c r="B1032" s="688">
        <v>44883</v>
      </c>
      <c r="C1032" s="688" t="s">
        <v>2351</v>
      </c>
      <c r="D1032" s="651" t="s">
        <v>2041</v>
      </c>
      <c r="E1032" s="651" t="s">
        <v>2095</v>
      </c>
      <c r="F1032" s="652" t="s">
        <v>2043</v>
      </c>
      <c r="G1032" s="689">
        <v>202205061482</v>
      </c>
      <c r="H1032" s="651" t="s">
        <v>1798</v>
      </c>
      <c r="I1032" s="679" t="s">
        <v>1596</v>
      </c>
      <c r="J1032" s="684">
        <v>4956</v>
      </c>
      <c r="K1032" s="684">
        <v>54.383499999999998</v>
      </c>
      <c r="L1032" s="655">
        <f t="shared" si="98"/>
        <v>91.130581886049995</v>
      </c>
      <c r="M1032" s="628">
        <v>60</v>
      </c>
      <c r="N1032" s="667">
        <f t="shared" si="99"/>
        <v>82.6</v>
      </c>
      <c r="O1032" s="668">
        <f t="shared" ca="1" si="96"/>
        <v>14</v>
      </c>
      <c r="P1032" s="655">
        <f t="shared" ca="1" si="97"/>
        <v>3799.6000000000004</v>
      </c>
      <c r="Q1032" s="667">
        <f t="shared" ref="Q1032:Q1095" ca="1" si="100">IF(P1032&lt;1,1,P1032)</f>
        <v>3799.6000000000004</v>
      </c>
      <c r="R1032" s="669" t="s">
        <v>2044</v>
      </c>
    </row>
    <row r="1033" spans="2:18" ht="35.1" customHeight="1" x14ac:dyDescent="0.25">
      <c r="B1033" s="688">
        <v>44883</v>
      </c>
      <c r="C1033" s="688" t="s">
        <v>2351</v>
      </c>
      <c r="D1033" s="651" t="s">
        <v>2041</v>
      </c>
      <c r="E1033" s="651" t="s">
        <v>2096</v>
      </c>
      <c r="F1033" s="652" t="s">
        <v>2043</v>
      </c>
      <c r="G1033" s="689">
        <v>202205061025</v>
      </c>
      <c r="H1033" s="651" t="s">
        <v>1798</v>
      </c>
      <c r="I1033" s="679" t="s">
        <v>1596</v>
      </c>
      <c r="J1033" s="684">
        <v>4956</v>
      </c>
      <c r="K1033" s="684">
        <v>54.383499999999998</v>
      </c>
      <c r="L1033" s="655">
        <f t="shared" si="98"/>
        <v>91.130581886049995</v>
      </c>
      <c r="M1033" s="628">
        <v>60</v>
      </c>
      <c r="N1033" s="667">
        <f t="shared" si="99"/>
        <v>82.6</v>
      </c>
      <c r="O1033" s="668">
        <f t="shared" ca="1" si="96"/>
        <v>14</v>
      </c>
      <c r="P1033" s="655">
        <f t="shared" ca="1" si="97"/>
        <v>3799.6000000000004</v>
      </c>
      <c r="Q1033" s="667">
        <f t="shared" ca="1" si="100"/>
        <v>3799.6000000000004</v>
      </c>
      <c r="R1033" s="669" t="s">
        <v>2044</v>
      </c>
    </row>
    <row r="1034" spans="2:18" ht="35.1" customHeight="1" x14ac:dyDescent="0.25">
      <c r="B1034" s="688">
        <v>44883</v>
      </c>
      <c r="C1034" s="688" t="s">
        <v>2351</v>
      </c>
      <c r="D1034" s="651" t="s">
        <v>2041</v>
      </c>
      <c r="E1034" s="651" t="s">
        <v>2097</v>
      </c>
      <c r="F1034" s="652" t="s">
        <v>2043</v>
      </c>
      <c r="G1034" s="689">
        <v>202205061480</v>
      </c>
      <c r="H1034" s="651" t="s">
        <v>1798</v>
      </c>
      <c r="I1034" s="679" t="s">
        <v>1596</v>
      </c>
      <c r="J1034" s="684">
        <v>4956</v>
      </c>
      <c r="K1034" s="684">
        <v>54.383499999999998</v>
      </c>
      <c r="L1034" s="655">
        <f t="shared" si="98"/>
        <v>91.130581886049995</v>
      </c>
      <c r="M1034" s="628">
        <v>60</v>
      </c>
      <c r="N1034" s="667">
        <f t="shared" si="99"/>
        <v>82.6</v>
      </c>
      <c r="O1034" s="668">
        <f t="shared" ca="1" si="96"/>
        <v>14</v>
      </c>
      <c r="P1034" s="655">
        <f t="shared" ca="1" si="97"/>
        <v>3799.6000000000004</v>
      </c>
      <c r="Q1034" s="667">
        <f t="shared" ca="1" si="100"/>
        <v>3799.6000000000004</v>
      </c>
      <c r="R1034" s="669" t="s">
        <v>2044</v>
      </c>
    </row>
    <row r="1035" spans="2:18" ht="35.1" customHeight="1" x14ac:dyDescent="0.25">
      <c r="B1035" s="688">
        <v>44883</v>
      </c>
      <c r="C1035" s="688" t="s">
        <v>2351</v>
      </c>
      <c r="D1035" s="651" t="s">
        <v>2041</v>
      </c>
      <c r="E1035" s="651" t="s">
        <v>2098</v>
      </c>
      <c r="F1035" s="652" t="s">
        <v>2043</v>
      </c>
      <c r="G1035" s="689">
        <v>202205061483</v>
      </c>
      <c r="H1035" s="651" t="s">
        <v>1798</v>
      </c>
      <c r="I1035" s="679" t="s">
        <v>1596</v>
      </c>
      <c r="J1035" s="684">
        <v>4956</v>
      </c>
      <c r="K1035" s="684">
        <v>54.383499999999998</v>
      </c>
      <c r="L1035" s="655">
        <f t="shared" si="98"/>
        <v>91.130581886049995</v>
      </c>
      <c r="M1035" s="628">
        <v>60</v>
      </c>
      <c r="N1035" s="667">
        <f t="shared" si="99"/>
        <v>82.6</v>
      </c>
      <c r="O1035" s="668">
        <f t="shared" ref="O1035:O1098" ca="1" si="101">IF(B1035&lt;&gt;0,(ROUND((NOW()-B1035)/30,0)),0)</f>
        <v>14</v>
      </c>
      <c r="P1035" s="655">
        <f t="shared" ca="1" si="97"/>
        <v>3799.6000000000004</v>
      </c>
      <c r="Q1035" s="667">
        <f t="shared" ca="1" si="100"/>
        <v>3799.6000000000004</v>
      </c>
      <c r="R1035" s="669" t="s">
        <v>2044</v>
      </c>
    </row>
    <row r="1036" spans="2:18" ht="45" customHeight="1" x14ac:dyDescent="0.25">
      <c r="B1036" s="688">
        <v>44893</v>
      </c>
      <c r="C1036" s="688" t="s">
        <v>2351</v>
      </c>
      <c r="D1036" s="651" t="s">
        <v>2099</v>
      </c>
      <c r="E1036" s="651" t="s">
        <v>2100</v>
      </c>
      <c r="F1036" s="652" t="s">
        <v>2101</v>
      </c>
      <c r="G1036" s="689" t="s">
        <v>28</v>
      </c>
      <c r="H1036" s="617" t="s">
        <v>1445</v>
      </c>
      <c r="I1036" s="615" t="s">
        <v>4419</v>
      </c>
      <c r="J1036" s="684">
        <v>13983</v>
      </c>
      <c r="K1036" s="684">
        <v>54.114800000000002</v>
      </c>
      <c r="L1036" s="655">
        <f t="shared" si="98"/>
        <v>258.39511556912339</v>
      </c>
      <c r="M1036" s="628">
        <v>60</v>
      </c>
      <c r="N1036" s="667">
        <f t="shared" si="99"/>
        <v>233.05</v>
      </c>
      <c r="O1036" s="668">
        <f t="shared" ca="1" si="101"/>
        <v>14</v>
      </c>
      <c r="P1036" s="655">
        <f t="shared" ca="1" si="97"/>
        <v>10720.3</v>
      </c>
      <c r="Q1036" s="667">
        <f t="shared" ca="1" si="100"/>
        <v>10720.3</v>
      </c>
      <c r="R1036" s="669" t="s">
        <v>2102</v>
      </c>
    </row>
    <row r="1037" spans="2:18" ht="45" customHeight="1" x14ac:dyDescent="0.25">
      <c r="B1037" s="688">
        <v>44893</v>
      </c>
      <c r="C1037" s="688" t="s">
        <v>2351</v>
      </c>
      <c r="D1037" s="651" t="s">
        <v>2099</v>
      </c>
      <c r="E1037" s="651" t="s">
        <v>2103</v>
      </c>
      <c r="F1037" s="652" t="s">
        <v>2101</v>
      </c>
      <c r="G1037" s="689" t="s">
        <v>28</v>
      </c>
      <c r="H1037" s="617" t="s">
        <v>1445</v>
      </c>
      <c r="I1037" s="615" t="s">
        <v>4419</v>
      </c>
      <c r="J1037" s="684">
        <v>13983</v>
      </c>
      <c r="K1037" s="684">
        <v>54.114800000000002</v>
      </c>
      <c r="L1037" s="655">
        <f t="shared" si="98"/>
        <v>258.39511556912339</v>
      </c>
      <c r="M1037" s="628">
        <v>60</v>
      </c>
      <c r="N1037" s="667">
        <f t="shared" si="99"/>
        <v>233.05</v>
      </c>
      <c r="O1037" s="668">
        <f t="shared" ca="1" si="101"/>
        <v>14</v>
      </c>
      <c r="P1037" s="655">
        <f t="shared" ca="1" si="97"/>
        <v>10720.3</v>
      </c>
      <c r="Q1037" s="667">
        <f t="shared" ca="1" si="100"/>
        <v>10720.3</v>
      </c>
      <c r="R1037" s="669" t="s">
        <v>2102</v>
      </c>
    </row>
    <row r="1038" spans="2:18" ht="45" customHeight="1" x14ac:dyDescent="0.25">
      <c r="B1038" s="688">
        <v>44893</v>
      </c>
      <c r="C1038" s="688" t="s">
        <v>2351</v>
      </c>
      <c r="D1038" s="651" t="s">
        <v>2099</v>
      </c>
      <c r="E1038" s="651" t="s">
        <v>2104</v>
      </c>
      <c r="F1038" s="652" t="s">
        <v>2101</v>
      </c>
      <c r="G1038" s="689" t="s">
        <v>28</v>
      </c>
      <c r="H1038" s="617" t="s">
        <v>1445</v>
      </c>
      <c r="I1038" s="615" t="s">
        <v>4419</v>
      </c>
      <c r="J1038" s="684">
        <v>13983</v>
      </c>
      <c r="K1038" s="684">
        <v>54.114800000000002</v>
      </c>
      <c r="L1038" s="655">
        <f t="shared" ref="L1038:L1101" si="102">+J1038/K1038</f>
        <v>258.39511556912339</v>
      </c>
      <c r="M1038" s="628">
        <v>60</v>
      </c>
      <c r="N1038" s="667">
        <f t="shared" si="99"/>
        <v>233.05</v>
      </c>
      <c r="O1038" s="668">
        <f t="shared" ca="1" si="101"/>
        <v>14</v>
      </c>
      <c r="P1038" s="655">
        <f t="shared" ref="P1038:P1052" ca="1" si="103">IF(OR(J1038=0,M1038=0,O1038=0),0,J1038-(N1038*O1038))</f>
        <v>10720.3</v>
      </c>
      <c r="Q1038" s="667">
        <f t="shared" ca="1" si="100"/>
        <v>10720.3</v>
      </c>
      <c r="R1038" s="669" t="s">
        <v>2102</v>
      </c>
    </row>
    <row r="1039" spans="2:18" ht="45" customHeight="1" x14ac:dyDescent="0.25">
      <c r="B1039" s="688">
        <v>44893</v>
      </c>
      <c r="C1039" s="688" t="s">
        <v>2351</v>
      </c>
      <c r="D1039" s="651" t="s">
        <v>2099</v>
      </c>
      <c r="E1039" s="651" t="s">
        <v>2105</v>
      </c>
      <c r="F1039" s="652" t="s">
        <v>2101</v>
      </c>
      <c r="G1039" s="689" t="s">
        <v>28</v>
      </c>
      <c r="H1039" s="617" t="s">
        <v>1445</v>
      </c>
      <c r="I1039" s="615" t="s">
        <v>4419</v>
      </c>
      <c r="J1039" s="684">
        <v>13983</v>
      </c>
      <c r="K1039" s="684">
        <v>54.114800000000002</v>
      </c>
      <c r="L1039" s="655">
        <f t="shared" si="102"/>
        <v>258.39511556912339</v>
      </c>
      <c r="M1039" s="628">
        <v>60</v>
      </c>
      <c r="N1039" s="667">
        <f t="shared" si="99"/>
        <v>233.05</v>
      </c>
      <c r="O1039" s="668">
        <f t="shared" ca="1" si="101"/>
        <v>14</v>
      </c>
      <c r="P1039" s="655">
        <f t="shared" ca="1" si="103"/>
        <v>10720.3</v>
      </c>
      <c r="Q1039" s="667">
        <f t="shared" ca="1" si="100"/>
        <v>10720.3</v>
      </c>
      <c r="R1039" s="669" t="s">
        <v>2102</v>
      </c>
    </row>
    <row r="1040" spans="2:18" ht="45" customHeight="1" x14ac:dyDescent="0.25">
      <c r="B1040" s="688">
        <v>44893</v>
      </c>
      <c r="C1040" s="688" t="s">
        <v>2351</v>
      </c>
      <c r="D1040" s="651" t="s">
        <v>2099</v>
      </c>
      <c r="E1040" s="651" t="s">
        <v>2106</v>
      </c>
      <c r="F1040" s="652" t="s">
        <v>2101</v>
      </c>
      <c r="G1040" s="689" t="s">
        <v>28</v>
      </c>
      <c r="H1040" s="617" t="s">
        <v>1445</v>
      </c>
      <c r="I1040" s="615" t="s">
        <v>4419</v>
      </c>
      <c r="J1040" s="684">
        <v>13983</v>
      </c>
      <c r="K1040" s="684">
        <v>54.114800000000002</v>
      </c>
      <c r="L1040" s="655">
        <f t="shared" si="102"/>
        <v>258.39511556912339</v>
      </c>
      <c r="M1040" s="628">
        <v>60</v>
      </c>
      <c r="N1040" s="667">
        <f t="shared" si="99"/>
        <v>233.05</v>
      </c>
      <c r="O1040" s="668">
        <f t="shared" ca="1" si="101"/>
        <v>14</v>
      </c>
      <c r="P1040" s="655">
        <f t="shared" ca="1" si="103"/>
        <v>10720.3</v>
      </c>
      <c r="Q1040" s="667">
        <f t="shared" ca="1" si="100"/>
        <v>10720.3</v>
      </c>
      <c r="R1040" s="669" t="s">
        <v>2102</v>
      </c>
    </row>
    <row r="1041" spans="2:18" ht="45" customHeight="1" x14ac:dyDescent="0.25">
      <c r="B1041" s="688">
        <v>44893</v>
      </c>
      <c r="C1041" s="688" t="s">
        <v>2351</v>
      </c>
      <c r="D1041" s="651" t="s">
        <v>2099</v>
      </c>
      <c r="E1041" s="651" t="s">
        <v>2107</v>
      </c>
      <c r="F1041" s="652" t="s">
        <v>2101</v>
      </c>
      <c r="G1041" s="689" t="s">
        <v>28</v>
      </c>
      <c r="H1041" s="617" t="s">
        <v>1445</v>
      </c>
      <c r="I1041" s="615" t="s">
        <v>4419</v>
      </c>
      <c r="J1041" s="684">
        <v>13983</v>
      </c>
      <c r="K1041" s="684">
        <v>54.114800000000002</v>
      </c>
      <c r="L1041" s="655">
        <f t="shared" si="102"/>
        <v>258.39511556912339</v>
      </c>
      <c r="M1041" s="628">
        <v>60</v>
      </c>
      <c r="N1041" s="667">
        <f t="shared" si="99"/>
        <v>233.05</v>
      </c>
      <c r="O1041" s="668">
        <f t="shared" ca="1" si="101"/>
        <v>14</v>
      </c>
      <c r="P1041" s="655">
        <f t="shared" ca="1" si="103"/>
        <v>10720.3</v>
      </c>
      <c r="Q1041" s="667">
        <f t="shared" ca="1" si="100"/>
        <v>10720.3</v>
      </c>
      <c r="R1041" s="669" t="s">
        <v>2102</v>
      </c>
    </row>
    <row r="1042" spans="2:18" ht="46.5" customHeight="1" x14ac:dyDescent="0.25">
      <c r="B1042" s="688">
        <v>44893</v>
      </c>
      <c r="C1042" s="688" t="s">
        <v>2351</v>
      </c>
      <c r="D1042" s="651" t="s">
        <v>2099</v>
      </c>
      <c r="E1042" s="651" t="s">
        <v>2108</v>
      </c>
      <c r="F1042" s="652" t="s">
        <v>2101</v>
      </c>
      <c r="G1042" s="689" t="s">
        <v>28</v>
      </c>
      <c r="H1042" s="617" t="s">
        <v>1445</v>
      </c>
      <c r="I1042" s="615" t="s">
        <v>4107</v>
      </c>
      <c r="J1042" s="684">
        <v>13983</v>
      </c>
      <c r="K1042" s="684">
        <v>54.114800000000002</v>
      </c>
      <c r="L1042" s="655">
        <f t="shared" si="102"/>
        <v>258.39511556912339</v>
      </c>
      <c r="M1042" s="628">
        <v>60</v>
      </c>
      <c r="N1042" s="667">
        <f t="shared" ref="N1042:N1105" si="104">IF(AND(J1042&lt;&gt;0,M1042&lt;&gt;0),J1042/M1042,0)</f>
        <v>233.05</v>
      </c>
      <c r="O1042" s="668">
        <f t="shared" ca="1" si="101"/>
        <v>14</v>
      </c>
      <c r="P1042" s="655">
        <f t="shared" ca="1" si="103"/>
        <v>10720.3</v>
      </c>
      <c r="Q1042" s="667">
        <f t="shared" ca="1" si="100"/>
        <v>10720.3</v>
      </c>
      <c r="R1042" s="669" t="s">
        <v>2102</v>
      </c>
    </row>
    <row r="1043" spans="2:18" ht="51.75" customHeight="1" x14ac:dyDescent="0.25">
      <c r="B1043" s="688">
        <v>44893</v>
      </c>
      <c r="C1043" s="688" t="s">
        <v>2351</v>
      </c>
      <c r="D1043" s="651" t="s">
        <v>2099</v>
      </c>
      <c r="E1043" s="651" t="s">
        <v>2109</v>
      </c>
      <c r="F1043" s="652" t="s">
        <v>2101</v>
      </c>
      <c r="G1043" s="689" t="s">
        <v>28</v>
      </c>
      <c r="H1043" s="617" t="s">
        <v>1445</v>
      </c>
      <c r="I1043" s="615" t="s">
        <v>4107</v>
      </c>
      <c r="J1043" s="684">
        <v>13983</v>
      </c>
      <c r="K1043" s="684">
        <v>54.114800000000002</v>
      </c>
      <c r="L1043" s="655">
        <f t="shared" si="102"/>
        <v>258.39511556912339</v>
      </c>
      <c r="M1043" s="628">
        <v>60</v>
      </c>
      <c r="N1043" s="667">
        <f t="shared" si="104"/>
        <v>233.05</v>
      </c>
      <c r="O1043" s="668">
        <f t="shared" ca="1" si="101"/>
        <v>14</v>
      </c>
      <c r="P1043" s="655">
        <f t="shared" ca="1" si="103"/>
        <v>10720.3</v>
      </c>
      <c r="Q1043" s="667">
        <f t="shared" ca="1" si="100"/>
        <v>10720.3</v>
      </c>
      <c r="R1043" s="669" t="s">
        <v>2102</v>
      </c>
    </row>
    <row r="1044" spans="2:18" ht="45.75" customHeight="1" x14ac:dyDescent="0.25">
      <c r="B1044" s="688">
        <v>44893</v>
      </c>
      <c r="C1044" s="688" t="s">
        <v>2351</v>
      </c>
      <c r="D1044" s="651" t="s">
        <v>2099</v>
      </c>
      <c r="E1044" s="651" t="s">
        <v>2110</v>
      </c>
      <c r="F1044" s="652" t="s">
        <v>2101</v>
      </c>
      <c r="G1044" s="689" t="s">
        <v>28</v>
      </c>
      <c r="H1044" s="617" t="s">
        <v>1445</v>
      </c>
      <c r="I1044" s="615" t="s">
        <v>4107</v>
      </c>
      <c r="J1044" s="684">
        <v>13983</v>
      </c>
      <c r="K1044" s="684">
        <v>54.114800000000002</v>
      </c>
      <c r="L1044" s="655">
        <f t="shared" si="102"/>
        <v>258.39511556912339</v>
      </c>
      <c r="M1044" s="628">
        <v>60</v>
      </c>
      <c r="N1044" s="667">
        <f t="shared" si="104"/>
        <v>233.05</v>
      </c>
      <c r="O1044" s="668">
        <f t="shared" ca="1" si="101"/>
        <v>14</v>
      </c>
      <c r="P1044" s="655">
        <f t="shared" ca="1" si="103"/>
        <v>10720.3</v>
      </c>
      <c r="Q1044" s="667">
        <f t="shared" ca="1" si="100"/>
        <v>10720.3</v>
      </c>
      <c r="R1044" s="669" t="s">
        <v>2102</v>
      </c>
    </row>
    <row r="1045" spans="2:18" ht="35.1" customHeight="1" x14ac:dyDescent="0.25">
      <c r="B1045" s="688">
        <v>44893</v>
      </c>
      <c r="C1045" s="688" t="s">
        <v>2351</v>
      </c>
      <c r="D1045" s="651" t="s">
        <v>2099</v>
      </c>
      <c r="E1045" s="651" t="s">
        <v>2111</v>
      </c>
      <c r="F1045" s="652" t="s">
        <v>2101</v>
      </c>
      <c r="G1045" s="689" t="s">
        <v>28</v>
      </c>
      <c r="H1045" s="617" t="s">
        <v>4105</v>
      </c>
      <c r="I1045" s="615" t="s">
        <v>4102</v>
      </c>
      <c r="J1045" s="684">
        <v>13983</v>
      </c>
      <c r="K1045" s="684">
        <v>54.114800000000002</v>
      </c>
      <c r="L1045" s="655">
        <f t="shared" si="102"/>
        <v>258.39511556912339</v>
      </c>
      <c r="M1045" s="628">
        <v>60</v>
      </c>
      <c r="N1045" s="667">
        <f t="shared" si="104"/>
        <v>233.05</v>
      </c>
      <c r="O1045" s="668">
        <f t="shared" ca="1" si="101"/>
        <v>14</v>
      </c>
      <c r="P1045" s="655">
        <f t="shared" ca="1" si="103"/>
        <v>10720.3</v>
      </c>
      <c r="Q1045" s="667">
        <f t="shared" ca="1" si="100"/>
        <v>10720.3</v>
      </c>
      <c r="R1045" s="669" t="s">
        <v>2102</v>
      </c>
    </row>
    <row r="1046" spans="2:18" ht="35.1" customHeight="1" x14ac:dyDescent="0.25">
      <c r="B1046" s="688">
        <v>44893</v>
      </c>
      <c r="C1046" s="688" t="s">
        <v>2351</v>
      </c>
      <c r="D1046" s="651" t="s">
        <v>2099</v>
      </c>
      <c r="E1046" s="651" t="s">
        <v>2112</v>
      </c>
      <c r="F1046" s="652" t="s">
        <v>2101</v>
      </c>
      <c r="G1046" s="689" t="s">
        <v>28</v>
      </c>
      <c r="H1046" s="617" t="s">
        <v>4105</v>
      </c>
      <c r="I1046" s="615" t="s">
        <v>4102</v>
      </c>
      <c r="J1046" s="684">
        <v>13983</v>
      </c>
      <c r="K1046" s="684">
        <v>54.114800000000002</v>
      </c>
      <c r="L1046" s="655">
        <f t="shared" si="102"/>
        <v>258.39511556912339</v>
      </c>
      <c r="M1046" s="628">
        <v>60</v>
      </c>
      <c r="N1046" s="667">
        <f t="shared" si="104"/>
        <v>233.05</v>
      </c>
      <c r="O1046" s="668">
        <f t="shared" ca="1" si="101"/>
        <v>14</v>
      </c>
      <c r="P1046" s="655">
        <f t="shared" ca="1" si="103"/>
        <v>10720.3</v>
      </c>
      <c r="Q1046" s="667">
        <f t="shared" ca="1" si="100"/>
        <v>10720.3</v>
      </c>
      <c r="R1046" s="669" t="s">
        <v>2102</v>
      </c>
    </row>
    <row r="1047" spans="2:18" ht="35.1" customHeight="1" x14ac:dyDescent="0.25">
      <c r="B1047" s="688">
        <v>44893</v>
      </c>
      <c r="C1047" s="688" t="s">
        <v>2351</v>
      </c>
      <c r="D1047" s="651" t="s">
        <v>2099</v>
      </c>
      <c r="E1047" s="651" t="s">
        <v>2113</v>
      </c>
      <c r="F1047" s="652" t="s">
        <v>2101</v>
      </c>
      <c r="G1047" s="689" t="s">
        <v>28</v>
      </c>
      <c r="H1047" s="617" t="s">
        <v>4105</v>
      </c>
      <c r="I1047" s="615" t="s">
        <v>4102</v>
      </c>
      <c r="J1047" s="684">
        <v>13983</v>
      </c>
      <c r="K1047" s="684">
        <v>54.114800000000002</v>
      </c>
      <c r="L1047" s="655">
        <f t="shared" si="102"/>
        <v>258.39511556912339</v>
      </c>
      <c r="M1047" s="628">
        <v>60</v>
      </c>
      <c r="N1047" s="667">
        <f t="shared" si="104"/>
        <v>233.05</v>
      </c>
      <c r="O1047" s="668">
        <f t="shared" ca="1" si="101"/>
        <v>14</v>
      </c>
      <c r="P1047" s="655">
        <f t="shared" ca="1" si="103"/>
        <v>10720.3</v>
      </c>
      <c r="Q1047" s="667">
        <f t="shared" ca="1" si="100"/>
        <v>10720.3</v>
      </c>
      <c r="R1047" s="669" t="s">
        <v>2102</v>
      </c>
    </row>
    <row r="1048" spans="2:18" ht="42.75" customHeight="1" x14ac:dyDescent="0.25">
      <c r="B1048" s="688">
        <v>44893</v>
      </c>
      <c r="C1048" s="688" t="s">
        <v>2351</v>
      </c>
      <c r="D1048" s="651" t="s">
        <v>2099</v>
      </c>
      <c r="E1048" s="651" t="s">
        <v>2114</v>
      </c>
      <c r="F1048" s="652" t="s">
        <v>2101</v>
      </c>
      <c r="G1048" s="689" t="s">
        <v>28</v>
      </c>
      <c r="H1048" s="617" t="s">
        <v>4105</v>
      </c>
      <c r="I1048" s="615" t="s">
        <v>4103</v>
      </c>
      <c r="J1048" s="684">
        <v>13983</v>
      </c>
      <c r="K1048" s="684">
        <v>54.114800000000002</v>
      </c>
      <c r="L1048" s="655">
        <f t="shared" si="102"/>
        <v>258.39511556912339</v>
      </c>
      <c r="M1048" s="628">
        <v>60</v>
      </c>
      <c r="N1048" s="667">
        <f t="shared" si="104"/>
        <v>233.05</v>
      </c>
      <c r="O1048" s="668">
        <f t="shared" ca="1" si="101"/>
        <v>14</v>
      </c>
      <c r="P1048" s="655">
        <f t="shared" ca="1" si="103"/>
        <v>10720.3</v>
      </c>
      <c r="Q1048" s="667">
        <f t="shared" ca="1" si="100"/>
        <v>10720.3</v>
      </c>
      <c r="R1048" s="669" t="s">
        <v>2102</v>
      </c>
    </row>
    <row r="1049" spans="2:18" ht="44.25" customHeight="1" x14ac:dyDescent="0.25">
      <c r="B1049" s="688">
        <v>44893</v>
      </c>
      <c r="C1049" s="688" t="s">
        <v>2351</v>
      </c>
      <c r="D1049" s="651" t="s">
        <v>2099</v>
      </c>
      <c r="E1049" s="651" t="s">
        <v>2115</v>
      </c>
      <c r="F1049" s="652" t="s">
        <v>2101</v>
      </c>
      <c r="G1049" s="689" t="s">
        <v>28</v>
      </c>
      <c r="H1049" s="617" t="s">
        <v>4105</v>
      </c>
      <c r="I1049" s="615" t="s">
        <v>4103</v>
      </c>
      <c r="J1049" s="684">
        <v>13983</v>
      </c>
      <c r="K1049" s="684">
        <v>54.114800000000002</v>
      </c>
      <c r="L1049" s="655">
        <f t="shared" si="102"/>
        <v>258.39511556912339</v>
      </c>
      <c r="M1049" s="628">
        <v>60</v>
      </c>
      <c r="N1049" s="667">
        <f t="shared" si="104"/>
        <v>233.05</v>
      </c>
      <c r="O1049" s="668">
        <f t="shared" ca="1" si="101"/>
        <v>14</v>
      </c>
      <c r="P1049" s="655">
        <f t="shared" ca="1" si="103"/>
        <v>10720.3</v>
      </c>
      <c r="Q1049" s="667">
        <f t="shared" ca="1" si="100"/>
        <v>10720.3</v>
      </c>
      <c r="R1049" s="669" t="s">
        <v>2102</v>
      </c>
    </row>
    <row r="1050" spans="2:18" ht="35.1" customHeight="1" x14ac:dyDescent="0.25">
      <c r="B1050" s="688">
        <v>44893</v>
      </c>
      <c r="C1050" s="688" t="s">
        <v>2351</v>
      </c>
      <c r="D1050" s="651" t="s">
        <v>2099</v>
      </c>
      <c r="E1050" s="651" t="s">
        <v>2116</v>
      </c>
      <c r="F1050" s="652" t="s">
        <v>2101</v>
      </c>
      <c r="G1050" s="689" t="s">
        <v>28</v>
      </c>
      <c r="H1050" s="617" t="s">
        <v>4105</v>
      </c>
      <c r="I1050" s="615" t="s">
        <v>4104</v>
      </c>
      <c r="J1050" s="684">
        <v>13983</v>
      </c>
      <c r="K1050" s="684">
        <v>54.114800000000002</v>
      </c>
      <c r="L1050" s="655">
        <f t="shared" si="102"/>
        <v>258.39511556912339</v>
      </c>
      <c r="M1050" s="628">
        <v>60</v>
      </c>
      <c r="N1050" s="667">
        <f t="shared" si="104"/>
        <v>233.05</v>
      </c>
      <c r="O1050" s="668">
        <f t="shared" ca="1" si="101"/>
        <v>14</v>
      </c>
      <c r="P1050" s="655">
        <f t="shared" ca="1" si="103"/>
        <v>10720.3</v>
      </c>
      <c r="Q1050" s="667">
        <f t="shared" ca="1" si="100"/>
        <v>10720.3</v>
      </c>
      <c r="R1050" s="669" t="s">
        <v>2102</v>
      </c>
    </row>
    <row r="1051" spans="2:18" ht="35.1" customHeight="1" x14ac:dyDescent="0.25">
      <c r="B1051" s="688">
        <v>44893</v>
      </c>
      <c r="C1051" s="688" t="s">
        <v>2351</v>
      </c>
      <c r="D1051" s="651" t="s">
        <v>2099</v>
      </c>
      <c r="E1051" s="651" t="s">
        <v>2117</v>
      </c>
      <c r="F1051" s="652" t="s">
        <v>2101</v>
      </c>
      <c r="G1051" s="689" t="s">
        <v>28</v>
      </c>
      <c r="H1051" s="617" t="s">
        <v>4105</v>
      </c>
      <c r="I1051" s="615" t="s">
        <v>4104</v>
      </c>
      <c r="J1051" s="684">
        <v>13983</v>
      </c>
      <c r="K1051" s="684">
        <v>54.114800000000002</v>
      </c>
      <c r="L1051" s="655">
        <f t="shared" si="102"/>
        <v>258.39511556912339</v>
      </c>
      <c r="M1051" s="628">
        <v>60</v>
      </c>
      <c r="N1051" s="667">
        <f t="shared" si="104"/>
        <v>233.05</v>
      </c>
      <c r="O1051" s="668">
        <f t="shared" ca="1" si="101"/>
        <v>14</v>
      </c>
      <c r="P1051" s="655">
        <f t="shared" ca="1" si="103"/>
        <v>10720.3</v>
      </c>
      <c r="Q1051" s="667">
        <f t="shared" ca="1" si="100"/>
        <v>10720.3</v>
      </c>
      <c r="R1051" s="669" t="s">
        <v>2102</v>
      </c>
    </row>
    <row r="1052" spans="2:18" ht="35.1" customHeight="1" x14ac:dyDescent="0.25">
      <c r="B1052" s="688">
        <v>44893</v>
      </c>
      <c r="C1052" s="688" t="s">
        <v>2351</v>
      </c>
      <c r="D1052" s="651" t="s">
        <v>2099</v>
      </c>
      <c r="E1052" s="651" t="s">
        <v>2118</v>
      </c>
      <c r="F1052" s="652" t="s">
        <v>2101</v>
      </c>
      <c r="G1052" s="689" t="s">
        <v>28</v>
      </c>
      <c r="H1052" s="617" t="s">
        <v>4105</v>
      </c>
      <c r="I1052" s="615" t="s">
        <v>4104</v>
      </c>
      <c r="J1052" s="684">
        <v>13983</v>
      </c>
      <c r="K1052" s="684">
        <v>54.114800000000002</v>
      </c>
      <c r="L1052" s="655">
        <f t="shared" si="102"/>
        <v>258.39511556912339</v>
      </c>
      <c r="M1052" s="628">
        <v>60</v>
      </c>
      <c r="N1052" s="667">
        <f t="shared" si="104"/>
        <v>233.05</v>
      </c>
      <c r="O1052" s="668">
        <f t="shared" ca="1" si="101"/>
        <v>14</v>
      </c>
      <c r="P1052" s="655">
        <f t="shared" ca="1" si="103"/>
        <v>10720.3</v>
      </c>
      <c r="Q1052" s="667">
        <f t="shared" ca="1" si="100"/>
        <v>10720.3</v>
      </c>
      <c r="R1052" s="669" t="s">
        <v>2102</v>
      </c>
    </row>
    <row r="1053" spans="2:18" ht="49.5" customHeight="1" x14ac:dyDescent="0.25">
      <c r="B1053" s="688">
        <v>44893</v>
      </c>
      <c r="C1053" s="688" t="s">
        <v>2351</v>
      </c>
      <c r="D1053" s="651" t="s">
        <v>2099</v>
      </c>
      <c r="E1053" s="651" t="s">
        <v>2119</v>
      </c>
      <c r="F1053" s="652" t="s">
        <v>2120</v>
      </c>
      <c r="G1053" s="689" t="s">
        <v>28</v>
      </c>
      <c r="H1053" s="617" t="s">
        <v>1445</v>
      </c>
      <c r="I1053" s="615" t="s">
        <v>4106</v>
      </c>
      <c r="J1053" s="684">
        <v>11463.7</v>
      </c>
      <c r="K1053" s="684">
        <v>54.114800000000002</v>
      </c>
      <c r="L1053" s="655">
        <f t="shared" si="102"/>
        <v>211.84038377671175</v>
      </c>
      <c r="M1053" s="628">
        <v>60</v>
      </c>
      <c r="N1053" s="667">
        <f t="shared" si="104"/>
        <v>191.06166666666667</v>
      </c>
      <c r="O1053" s="668">
        <f t="shared" ca="1" si="101"/>
        <v>14</v>
      </c>
      <c r="P1053" s="655">
        <v>11463.7</v>
      </c>
      <c r="Q1053" s="667">
        <f t="shared" si="100"/>
        <v>11463.7</v>
      </c>
      <c r="R1053" s="669" t="s">
        <v>2102</v>
      </c>
    </row>
    <row r="1054" spans="2:18" ht="35.1" customHeight="1" x14ac:dyDescent="0.25">
      <c r="B1054" s="688">
        <v>44893</v>
      </c>
      <c r="C1054" s="688" t="s">
        <v>2351</v>
      </c>
      <c r="D1054" s="651" t="s">
        <v>2099</v>
      </c>
      <c r="E1054" s="651" t="s">
        <v>2121</v>
      </c>
      <c r="F1054" s="652" t="s">
        <v>2120</v>
      </c>
      <c r="G1054" s="689" t="s">
        <v>28</v>
      </c>
      <c r="H1054" s="617" t="s">
        <v>1445</v>
      </c>
      <c r="I1054" s="615" t="s">
        <v>4107</v>
      </c>
      <c r="J1054" s="684">
        <v>11463.7</v>
      </c>
      <c r="K1054" s="684">
        <v>54.114800000000002</v>
      </c>
      <c r="L1054" s="655">
        <f t="shared" si="102"/>
        <v>211.84038377671175</v>
      </c>
      <c r="M1054" s="628">
        <v>60</v>
      </c>
      <c r="N1054" s="667">
        <f t="shared" si="104"/>
        <v>191.06166666666667</v>
      </c>
      <c r="O1054" s="668">
        <f t="shared" ca="1" si="101"/>
        <v>14</v>
      </c>
      <c r="P1054" s="655">
        <v>11463.7</v>
      </c>
      <c r="Q1054" s="667">
        <f t="shared" si="100"/>
        <v>11463.7</v>
      </c>
      <c r="R1054" s="669" t="s">
        <v>2102</v>
      </c>
    </row>
    <row r="1055" spans="2:18" ht="39.75" customHeight="1" x14ac:dyDescent="0.25">
      <c r="B1055" s="688">
        <v>44893</v>
      </c>
      <c r="C1055" s="688" t="s">
        <v>2351</v>
      </c>
      <c r="D1055" s="651" t="s">
        <v>2099</v>
      </c>
      <c r="E1055" s="651" t="s">
        <v>2122</v>
      </c>
      <c r="F1055" s="652" t="s">
        <v>2120</v>
      </c>
      <c r="G1055" s="689" t="s">
        <v>28</v>
      </c>
      <c r="H1055" s="617" t="s">
        <v>1445</v>
      </c>
      <c r="I1055" s="615" t="s">
        <v>4107</v>
      </c>
      <c r="J1055" s="684">
        <v>11463.7</v>
      </c>
      <c r="K1055" s="684">
        <v>54.114800000000002</v>
      </c>
      <c r="L1055" s="655">
        <f t="shared" si="102"/>
        <v>211.84038377671175</v>
      </c>
      <c r="M1055" s="628">
        <v>60</v>
      </c>
      <c r="N1055" s="667">
        <f t="shared" si="104"/>
        <v>191.06166666666667</v>
      </c>
      <c r="O1055" s="668">
        <f t="shared" ca="1" si="101"/>
        <v>14</v>
      </c>
      <c r="P1055" s="655">
        <v>11463.7</v>
      </c>
      <c r="Q1055" s="667">
        <f t="shared" si="100"/>
        <v>11463.7</v>
      </c>
      <c r="R1055" s="669" t="s">
        <v>2102</v>
      </c>
    </row>
    <row r="1056" spans="2:18" ht="51.75" customHeight="1" x14ac:dyDescent="0.25">
      <c r="B1056" s="688">
        <v>44893</v>
      </c>
      <c r="C1056" s="688" t="s">
        <v>2351</v>
      </c>
      <c r="D1056" s="651" t="s">
        <v>2099</v>
      </c>
      <c r="E1056" s="651" t="s">
        <v>2123</v>
      </c>
      <c r="F1056" s="652" t="s">
        <v>2120</v>
      </c>
      <c r="G1056" s="689" t="s">
        <v>28</v>
      </c>
      <c r="H1056" s="617" t="s">
        <v>4105</v>
      </c>
      <c r="I1056" s="615" t="s">
        <v>4103</v>
      </c>
      <c r="J1056" s="684">
        <v>11463.7</v>
      </c>
      <c r="K1056" s="684">
        <v>54.114800000000002</v>
      </c>
      <c r="L1056" s="655">
        <f t="shared" si="102"/>
        <v>211.84038377671175</v>
      </c>
      <c r="M1056" s="628">
        <v>60</v>
      </c>
      <c r="N1056" s="667">
        <f t="shared" si="104"/>
        <v>191.06166666666667</v>
      </c>
      <c r="O1056" s="668">
        <f t="shared" ca="1" si="101"/>
        <v>14</v>
      </c>
      <c r="P1056" s="655">
        <v>11463.7</v>
      </c>
      <c r="Q1056" s="667">
        <f t="shared" si="100"/>
        <v>11463.7</v>
      </c>
      <c r="R1056" s="669" t="s">
        <v>2102</v>
      </c>
    </row>
    <row r="1057" spans="2:18" ht="35.1" customHeight="1" x14ac:dyDescent="0.25">
      <c r="B1057" s="688">
        <v>44921</v>
      </c>
      <c r="C1057" s="688" t="s">
        <v>2351</v>
      </c>
      <c r="D1057" s="651" t="s">
        <v>2124</v>
      </c>
      <c r="E1057" s="651" t="s">
        <v>2125</v>
      </c>
      <c r="F1057" s="652" t="s">
        <v>2126</v>
      </c>
      <c r="G1057" s="689" t="s">
        <v>2127</v>
      </c>
      <c r="H1057" s="651" t="s">
        <v>2128</v>
      </c>
      <c r="I1057" s="651" t="s">
        <v>19</v>
      </c>
      <c r="J1057" s="684">
        <v>51330.98</v>
      </c>
      <c r="K1057" s="684">
        <v>55.843200000000003</v>
      </c>
      <c r="L1057" s="655">
        <f t="shared" si="102"/>
        <v>919.1983983725861</v>
      </c>
      <c r="M1057" s="628">
        <v>60</v>
      </c>
      <c r="N1057" s="667">
        <f t="shared" si="104"/>
        <v>855.51633333333336</v>
      </c>
      <c r="O1057" s="668">
        <f t="shared" ca="1" si="101"/>
        <v>13</v>
      </c>
      <c r="P1057" s="655">
        <v>11463.7</v>
      </c>
      <c r="Q1057" s="667">
        <f t="shared" si="100"/>
        <v>11463.7</v>
      </c>
      <c r="R1057" s="669" t="s">
        <v>61</v>
      </c>
    </row>
    <row r="1058" spans="2:18" ht="35.1" customHeight="1" x14ac:dyDescent="0.25">
      <c r="B1058" s="688">
        <v>44921</v>
      </c>
      <c r="C1058" s="688" t="s">
        <v>2351</v>
      </c>
      <c r="D1058" s="651" t="s">
        <v>2124</v>
      </c>
      <c r="E1058" s="651" t="s">
        <v>2129</v>
      </c>
      <c r="F1058" s="652" t="s">
        <v>2126</v>
      </c>
      <c r="G1058" s="689" t="s">
        <v>2130</v>
      </c>
      <c r="H1058" s="651" t="s">
        <v>2128</v>
      </c>
      <c r="I1058" s="651" t="s">
        <v>19</v>
      </c>
      <c r="J1058" s="684">
        <v>51330.97</v>
      </c>
      <c r="K1058" s="684">
        <v>55.843200000000003</v>
      </c>
      <c r="L1058" s="655">
        <f t="shared" si="102"/>
        <v>919.19821929975353</v>
      </c>
      <c r="M1058" s="628">
        <v>60</v>
      </c>
      <c r="N1058" s="667">
        <f t="shared" si="104"/>
        <v>855.51616666666666</v>
      </c>
      <c r="O1058" s="668">
        <f t="shared" ca="1" si="101"/>
        <v>13</v>
      </c>
      <c r="P1058" s="655">
        <v>11463.7</v>
      </c>
      <c r="Q1058" s="667">
        <f t="shared" si="100"/>
        <v>11463.7</v>
      </c>
      <c r="R1058" s="669" t="s">
        <v>61</v>
      </c>
    </row>
    <row r="1059" spans="2:18" ht="50.1" customHeight="1" x14ac:dyDescent="0.25">
      <c r="B1059" s="688">
        <v>44921</v>
      </c>
      <c r="C1059" s="688" t="s">
        <v>2351</v>
      </c>
      <c r="D1059" s="651" t="s">
        <v>2124</v>
      </c>
      <c r="E1059" s="690" t="s">
        <v>2131</v>
      </c>
      <c r="F1059" s="652" t="s">
        <v>2132</v>
      </c>
      <c r="G1059" s="689" t="s">
        <v>2133</v>
      </c>
      <c r="H1059" s="651" t="s">
        <v>2134</v>
      </c>
      <c r="I1059" s="769" t="s">
        <v>1596</v>
      </c>
      <c r="J1059" s="684">
        <v>3850.96</v>
      </c>
      <c r="K1059" s="684">
        <v>55.843200000000003</v>
      </c>
      <c r="L1059" s="655">
        <f t="shared" si="102"/>
        <v>68.960231505357854</v>
      </c>
      <c r="M1059" s="628">
        <v>60</v>
      </c>
      <c r="N1059" s="667">
        <f t="shared" si="104"/>
        <v>64.182666666666663</v>
      </c>
      <c r="O1059" s="668">
        <f t="shared" ca="1" si="101"/>
        <v>13</v>
      </c>
      <c r="P1059" s="655">
        <v>11463.7</v>
      </c>
      <c r="Q1059" s="667">
        <f t="shared" si="100"/>
        <v>11463.7</v>
      </c>
      <c r="R1059" s="669" t="s">
        <v>61</v>
      </c>
    </row>
    <row r="1060" spans="2:18" ht="50.1" customHeight="1" x14ac:dyDescent="0.25">
      <c r="B1060" s="688">
        <v>44921</v>
      </c>
      <c r="C1060" s="688" t="s">
        <v>2351</v>
      </c>
      <c r="D1060" s="651" t="s">
        <v>2124</v>
      </c>
      <c r="E1060" s="690" t="s">
        <v>2135</v>
      </c>
      <c r="F1060" s="652" t="s">
        <v>2132</v>
      </c>
      <c r="G1060" s="689" t="s">
        <v>2136</v>
      </c>
      <c r="H1060" s="651" t="s">
        <v>2134</v>
      </c>
      <c r="I1060" s="769" t="s">
        <v>1596</v>
      </c>
      <c r="J1060" s="684">
        <v>3850.96</v>
      </c>
      <c r="K1060" s="684">
        <v>55.843200000000003</v>
      </c>
      <c r="L1060" s="655">
        <f t="shared" si="102"/>
        <v>68.960231505357854</v>
      </c>
      <c r="M1060" s="628">
        <v>60</v>
      </c>
      <c r="N1060" s="667">
        <f t="shared" si="104"/>
        <v>64.182666666666663</v>
      </c>
      <c r="O1060" s="668">
        <f t="shared" ca="1" si="101"/>
        <v>13</v>
      </c>
      <c r="P1060" s="655">
        <v>11463.7</v>
      </c>
      <c r="Q1060" s="667">
        <f t="shared" si="100"/>
        <v>11463.7</v>
      </c>
      <c r="R1060" s="669" t="s">
        <v>61</v>
      </c>
    </row>
    <row r="1061" spans="2:18" ht="50.1" customHeight="1" x14ac:dyDescent="0.25">
      <c r="B1061" s="688">
        <v>44921</v>
      </c>
      <c r="C1061" s="688" t="s">
        <v>2351</v>
      </c>
      <c r="D1061" s="651" t="s">
        <v>2124</v>
      </c>
      <c r="E1061" s="690" t="s">
        <v>2137</v>
      </c>
      <c r="F1061" s="652" t="s">
        <v>2132</v>
      </c>
      <c r="G1061" s="689" t="s">
        <v>2138</v>
      </c>
      <c r="H1061" s="651" t="s">
        <v>2134</v>
      </c>
      <c r="I1061" s="769" t="s">
        <v>1596</v>
      </c>
      <c r="J1061" s="684">
        <v>3850.96</v>
      </c>
      <c r="K1061" s="684">
        <v>55.843200000000003</v>
      </c>
      <c r="L1061" s="655">
        <f t="shared" si="102"/>
        <v>68.960231505357854</v>
      </c>
      <c r="M1061" s="628">
        <v>60</v>
      </c>
      <c r="N1061" s="667">
        <f t="shared" si="104"/>
        <v>64.182666666666663</v>
      </c>
      <c r="O1061" s="668">
        <f t="shared" ca="1" si="101"/>
        <v>13</v>
      </c>
      <c r="P1061" s="655">
        <v>11463.7</v>
      </c>
      <c r="Q1061" s="667">
        <f t="shared" si="100"/>
        <v>11463.7</v>
      </c>
      <c r="R1061" s="669" t="s">
        <v>61</v>
      </c>
    </row>
    <row r="1062" spans="2:18" ht="50.1" customHeight="1" x14ac:dyDescent="0.25">
      <c r="B1062" s="688">
        <v>44921</v>
      </c>
      <c r="C1062" s="688" t="s">
        <v>2351</v>
      </c>
      <c r="D1062" s="651" t="s">
        <v>2124</v>
      </c>
      <c r="E1062" s="690" t="s">
        <v>2139</v>
      </c>
      <c r="F1062" s="652" t="s">
        <v>2132</v>
      </c>
      <c r="G1062" s="689" t="s">
        <v>2140</v>
      </c>
      <c r="H1062" s="651" t="s">
        <v>2134</v>
      </c>
      <c r="I1062" s="769" t="s">
        <v>1596</v>
      </c>
      <c r="J1062" s="684">
        <v>3850.96</v>
      </c>
      <c r="K1062" s="684">
        <v>55.843200000000003</v>
      </c>
      <c r="L1062" s="655">
        <f t="shared" si="102"/>
        <v>68.960231505357854</v>
      </c>
      <c r="M1062" s="628">
        <v>60</v>
      </c>
      <c r="N1062" s="667">
        <f t="shared" si="104"/>
        <v>64.182666666666663</v>
      </c>
      <c r="O1062" s="668">
        <f t="shared" ca="1" si="101"/>
        <v>13</v>
      </c>
      <c r="P1062" s="655">
        <v>11463.7</v>
      </c>
      <c r="Q1062" s="667">
        <f t="shared" si="100"/>
        <v>11463.7</v>
      </c>
      <c r="R1062" s="669" t="s">
        <v>61</v>
      </c>
    </row>
    <row r="1063" spans="2:18" ht="50.1" customHeight="1" x14ac:dyDescent="0.25">
      <c r="B1063" s="688">
        <v>44921</v>
      </c>
      <c r="C1063" s="688" t="s">
        <v>2351</v>
      </c>
      <c r="D1063" s="651" t="s">
        <v>2124</v>
      </c>
      <c r="E1063" s="690" t="s">
        <v>2141</v>
      </c>
      <c r="F1063" s="652" t="s">
        <v>2132</v>
      </c>
      <c r="G1063" s="689" t="s">
        <v>2142</v>
      </c>
      <c r="H1063" s="651" t="s">
        <v>2134</v>
      </c>
      <c r="I1063" s="769" t="s">
        <v>1596</v>
      </c>
      <c r="J1063" s="684">
        <v>3850.96</v>
      </c>
      <c r="K1063" s="684">
        <v>55.843200000000003</v>
      </c>
      <c r="L1063" s="655">
        <f t="shared" si="102"/>
        <v>68.960231505357854</v>
      </c>
      <c r="M1063" s="628">
        <v>60</v>
      </c>
      <c r="N1063" s="667">
        <f t="shared" si="104"/>
        <v>64.182666666666663</v>
      </c>
      <c r="O1063" s="668">
        <f t="shared" ca="1" si="101"/>
        <v>13</v>
      </c>
      <c r="P1063" s="655">
        <v>11463.7</v>
      </c>
      <c r="Q1063" s="667">
        <f t="shared" si="100"/>
        <v>11463.7</v>
      </c>
      <c r="R1063" s="669" t="s">
        <v>61</v>
      </c>
    </row>
    <row r="1064" spans="2:18" ht="50.1" customHeight="1" x14ac:dyDescent="0.25">
      <c r="B1064" s="688">
        <v>44921</v>
      </c>
      <c r="C1064" s="688" t="s">
        <v>2351</v>
      </c>
      <c r="D1064" s="651" t="s">
        <v>2124</v>
      </c>
      <c r="E1064" s="690" t="s">
        <v>2143</v>
      </c>
      <c r="F1064" s="652" t="s">
        <v>2132</v>
      </c>
      <c r="G1064" s="689" t="s">
        <v>2144</v>
      </c>
      <c r="H1064" s="651" t="s">
        <v>2134</v>
      </c>
      <c r="I1064" s="769" t="s">
        <v>1596</v>
      </c>
      <c r="J1064" s="684">
        <v>3850.96</v>
      </c>
      <c r="K1064" s="684">
        <v>55.843200000000003</v>
      </c>
      <c r="L1064" s="655">
        <f t="shared" si="102"/>
        <v>68.960231505357854</v>
      </c>
      <c r="M1064" s="628">
        <v>60</v>
      </c>
      <c r="N1064" s="667">
        <f t="shared" si="104"/>
        <v>64.182666666666663</v>
      </c>
      <c r="O1064" s="668">
        <f t="shared" ca="1" si="101"/>
        <v>13</v>
      </c>
      <c r="P1064" s="655">
        <v>11463.7</v>
      </c>
      <c r="Q1064" s="667">
        <f t="shared" si="100"/>
        <v>11463.7</v>
      </c>
      <c r="R1064" s="669" t="s">
        <v>61</v>
      </c>
    </row>
    <row r="1065" spans="2:18" ht="50.1" customHeight="1" x14ac:dyDescent="0.25">
      <c r="B1065" s="688">
        <v>44921</v>
      </c>
      <c r="C1065" s="688" t="s">
        <v>2351</v>
      </c>
      <c r="D1065" s="651" t="s">
        <v>2124</v>
      </c>
      <c r="E1065" s="690" t="s">
        <v>2145</v>
      </c>
      <c r="F1065" s="652" t="s">
        <v>2132</v>
      </c>
      <c r="G1065" s="689" t="s">
        <v>2146</v>
      </c>
      <c r="H1065" s="651" t="s">
        <v>2134</v>
      </c>
      <c r="I1065" s="769" t="s">
        <v>1596</v>
      </c>
      <c r="J1065" s="684">
        <v>3850.96</v>
      </c>
      <c r="K1065" s="684">
        <v>55.843200000000003</v>
      </c>
      <c r="L1065" s="655">
        <f t="shared" si="102"/>
        <v>68.960231505357854</v>
      </c>
      <c r="M1065" s="628">
        <v>60</v>
      </c>
      <c r="N1065" s="667">
        <f t="shared" si="104"/>
        <v>64.182666666666663</v>
      </c>
      <c r="O1065" s="668">
        <f t="shared" ca="1" si="101"/>
        <v>13</v>
      </c>
      <c r="P1065" s="655">
        <v>11463.7</v>
      </c>
      <c r="Q1065" s="667">
        <f t="shared" si="100"/>
        <v>11463.7</v>
      </c>
      <c r="R1065" s="669" t="s">
        <v>61</v>
      </c>
    </row>
    <row r="1066" spans="2:18" ht="50.1" customHeight="1" x14ac:dyDescent="0.25">
      <c r="B1066" s="688">
        <v>44921</v>
      </c>
      <c r="C1066" s="688" t="s">
        <v>2351</v>
      </c>
      <c r="D1066" s="651" t="s">
        <v>2124</v>
      </c>
      <c r="E1066" s="690" t="s">
        <v>2147</v>
      </c>
      <c r="F1066" s="652" t="s">
        <v>2132</v>
      </c>
      <c r="G1066" s="689" t="s">
        <v>2148</v>
      </c>
      <c r="H1066" s="651" t="s">
        <v>2134</v>
      </c>
      <c r="I1066" s="769" t="s">
        <v>1596</v>
      </c>
      <c r="J1066" s="684">
        <v>3850.96</v>
      </c>
      <c r="K1066" s="684">
        <v>55.843200000000003</v>
      </c>
      <c r="L1066" s="655">
        <f t="shared" si="102"/>
        <v>68.960231505357854</v>
      </c>
      <c r="M1066" s="628">
        <v>60</v>
      </c>
      <c r="N1066" s="667">
        <f t="shared" si="104"/>
        <v>64.182666666666663</v>
      </c>
      <c r="O1066" s="668">
        <f t="shared" ca="1" si="101"/>
        <v>13</v>
      </c>
      <c r="P1066" s="655">
        <v>11463.7</v>
      </c>
      <c r="Q1066" s="667">
        <f t="shared" si="100"/>
        <v>11463.7</v>
      </c>
      <c r="R1066" s="669" t="s">
        <v>61</v>
      </c>
    </row>
    <row r="1067" spans="2:18" ht="50.1" customHeight="1" x14ac:dyDescent="0.25">
      <c r="B1067" s="688">
        <v>44921</v>
      </c>
      <c r="C1067" s="688" t="s">
        <v>2351</v>
      </c>
      <c r="D1067" s="651" t="s">
        <v>2124</v>
      </c>
      <c r="E1067" s="690" t="s">
        <v>2149</v>
      </c>
      <c r="F1067" s="652" t="s">
        <v>2132</v>
      </c>
      <c r="G1067" s="689" t="s">
        <v>2150</v>
      </c>
      <c r="H1067" s="651" t="s">
        <v>2134</v>
      </c>
      <c r="I1067" s="769" t="s">
        <v>1596</v>
      </c>
      <c r="J1067" s="684">
        <v>3850.96</v>
      </c>
      <c r="K1067" s="684">
        <v>55.843200000000003</v>
      </c>
      <c r="L1067" s="655">
        <f t="shared" si="102"/>
        <v>68.960231505357854</v>
      </c>
      <c r="M1067" s="628">
        <v>60</v>
      </c>
      <c r="N1067" s="667">
        <f t="shared" si="104"/>
        <v>64.182666666666663</v>
      </c>
      <c r="O1067" s="668">
        <f t="shared" ca="1" si="101"/>
        <v>13</v>
      </c>
      <c r="P1067" s="655">
        <v>11463.7</v>
      </c>
      <c r="Q1067" s="667">
        <f t="shared" si="100"/>
        <v>11463.7</v>
      </c>
      <c r="R1067" s="669" t="s">
        <v>61</v>
      </c>
    </row>
    <row r="1068" spans="2:18" ht="50.1" customHeight="1" x14ac:dyDescent="0.25">
      <c r="B1068" s="688">
        <v>44921</v>
      </c>
      <c r="C1068" s="688" t="s">
        <v>2351</v>
      </c>
      <c r="D1068" s="651" t="s">
        <v>2124</v>
      </c>
      <c r="E1068" s="690" t="s">
        <v>2151</v>
      </c>
      <c r="F1068" s="652" t="s">
        <v>2132</v>
      </c>
      <c r="G1068" s="689" t="s">
        <v>2152</v>
      </c>
      <c r="H1068" s="651" t="s">
        <v>2134</v>
      </c>
      <c r="I1068" s="769" t="s">
        <v>1596</v>
      </c>
      <c r="J1068" s="684">
        <v>3850.96</v>
      </c>
      <c r="K1068" s="684">
        <v>55.843200000000003</v>
      </c>
      <c r="L1068" s="655">
        <f t="shared" si="102"/>
        <v>68.960231505357854</v>
      </c>
      <c r="M1068" s="628">
        <v>60</v>
      </c>
      <c r="N1068" s="667">
        <f t="shared" si="104"/>
        <v>64.182666666666663</v>
      </c>
      <c r="O1068" s="668">
        <f t="shared" ca="1" si="101"/>
        <v>13</v>
      </c>
      <c r="P1068" s="655">
        <v>11463.7</v>
      </c>
      <c r="Q1068" s="667">
        <f t="shared" si="100"/>
        <v>11463.7</v>
      </c>
      <c r="R1068" s="669" t="s">
        <v>61</v>
      </c>
    </row>
    <row r="1069" spans="2:18" ht="50.1" customHeight="1" x14ac:dyDescent="0.25">
      <c r="B1069" s="688">
        <v>44921</v>
      </c>
      <c r="C1069" s="688" t="s">
        <v>2351</v>
      </c>
      <c r="D1069" s="651" t="s">
        <v>2124</v>
      </c>
      <c r="E1069" s="690" t="s">
        <v>2153</v>
      </c>
      <c r="F1069" s="652" t="s">
        <v>2132</v>
      </c>
      <c r="G1069" s="689" t="s">
        <v>2154</v>
      </c>
      <c r="H1069" s="651" t="s">
        <v>2134</v>
      </c>
      <c r="I1069" s="769" t="s">
        <v>1596</v>
      </c>
      <c r="J1069" s="684">
        <v>3850.96</v>
      </c>
      <c r="K1069" s="684">
        <v>55.843200000000003</v>
      </c>
      <c r="L1069" s="655">
        <f t="shared" si="102"/>
        <v>68.960231505357854</v>
      </c>
      <c r="M1069" s="628">
        <v>60</v>
      </c>
      <c r="N1069" s="667">
        <f t="shared" si="104"/>
        <v>64.182666666666663</v>
      </c>
      <c r="O1069" s="668">
        <f t="shared" ca="1" si="101"/>
        <v>13</v>
      </c>
      <c r="P1069" s="655">
        <v>11463.7</v>
      </c>
      <c r="Q1069" s="667">
        <f t="shared" si="100"/>
        <v>11463.7</v>
      </c>
      <c r="R1069" s="669" t="s">
        <v>61</v>
      </c>
    </row>
    <row r="1070" spans="2:18" ht="50.1" customHeight="1" x14ac:dyDescent="0.25">
      <c r="B1070" s="688">
        <v>44921</v>
      </c>
      <c r="C1070" s="688" t="s">
        <v>2351</v>
      </c>
      <c r="D1070" s="651" t="s">
        <v>2124</v>
      </c>
      <c r="E1070" s="690" t="s">
        <v>2155</v>
      </c>
      <c r="F1070" s="652" t="s">
        <v>2132</v>
      </c>
      <c r="G1070" s="689" t="s">
        <v>2156</v>
      </c>
      <c r="H1070" s="651" t="s">
        <v>2134</v>
      </c>
      <c r="I1070" s="769" t="s">
        <v>1596</v>
      </c>
      <c r="J1070" s="684">
        <v>3850.96</v>
      </c>
      <c r="K1070" s="684">
        <v>55.843200000000003</v>
      </c>
      <c r="L1070" s="655">
        <f t="shared" si="102"/>
        <v>68.960231505357854</v>
      </c>
      <c r="M1070" s="628">
        <v>60</v>
      </c>
      <c r="N1070" s="667">
        <f t="shared" si="104"/>
        <v>64.182666666666663</v>
      </c>
      <c r="O1070" s="668">
        <f t="shared" ca="1" si="101"/>
        <v>13</v>
      </c>
      <c r="P1070" s="655">
        <v>11463.7</v>
      </c>
      <c r="Q1070" s="667">
        <f t="shared" si="100"/>
        <v>11463.7</v>
      </c>
      <c r="R1070" s="669" t="s">
        <v>61</v>
      </c>
    </row>
    <row r="1071" spans="2:18" ht="50.1" customHeight="1" x14ac:dyDescent="0.25">
      <c r="B1071" s="688">
        <v>44921</v>
      </c>
      <c r="C1071" s="688" t="s">
        <v>2351</v>
      </c>
      <c r="D1071" s="651" t="s">
        <v>2124</v>
      </c>
      <c r="E1071" s="690" t="s">
        <v>2157</v>
      </c>
      <c r="F1071" s="652" t="s">
        <v>2132</v>
      </c>
      <c r="G1071" s="689" t="s">
        <v>2158</v>
      </c>
      <c r="H1071" s="651" t="s">
        <v>2134</v>
      </c>
      <c r="I1071" s="769" t="s">
        <v>1596</v>
      </c>
      <c r="J1071" s="684">
        <v>3850.96</v>
      </c>
      <c r="K1071" s="684">
        <v>55.843200000000003</v>
      </c>
      <c r="L1071" s="655">
        <f t="shared" si="102"/>
        <v>68.960231505357854</v>
      </c>
      <c r="M1071" s="628">
        <v>60</v>
      </c>
      <c r="N1071" s="667">
        <f t="shared" si="104"/>
        <v>64.182666666666663</v>
      </c>
      <c r="O1071" s="668">
        <f t="shared" ca="1" si="101"/>
        <v>13</v>
      </c>
      <c r="P1071" s="655">
        <v>11463.7</v>
      </c>
      <c r="Q1071" s="667">
        <f t="shared" si="100"/>
        <v>11463.7</v>
      </c>
      <c r="R1071" s="669" t="s">
        <v>61</v>
      </c>
    </row>
    <row r="1072" spans="2:18" ht="50.1" customHeight="1" x14ac:dyDescent="0.25">
      <c r="B1072" s="688">
        <v>44921</v>
      </c>
      <c r="C1072" s="688" t="s">
        <v>2351</v>
      </c>
      <c r="D1072" s="651" t="s">
        <v>2124</v>
      </c>
      <c r="E1072" s="690" t="s">
        <v>2159</v>
      </c>
      <c r="F1072" s="652" t="s">
        <v>2132</v>
      </c>
      <c r="G1072" s="689" t="s">
        <v>2160</v>
      </c>
      <c r="H1072" s="651" t="s">
        <v>2134</v>
      </c>
      <c r="I1072" s="769" t="s">
        <v>1596</v>
      </c>
      <c r="J1072" s="684">
        <v>3850.96</v>
      </c>
      <c r="K1072" s="684">
        <v>55.843200000000003</v>
      </c>
      <c r="L1072" s="655">
        <f t="shared" si="102"/>
        <v>68.960231505357854</v>
      </c>
      <c r="M1072" s="628">
        <v>60</v>
      </c>
      <c r="N1072" s="667">
        <f t="shared" si="104"/>
        <v>64.182666666666663</v>
      </c>
      <c r="O1072" s="668">
        <f t="shared" ca="1" si="101"/>
        <v>13</v>
      </c>
      <c r="P1072" s="655">
        <v>11463.7</v>
      </c>
      <c r="Q1072" s="667">
        <f t="shared" si="100"/>
        <v>11463.7</v>
      </c>
      <c r="R1072" s="669" t="s">
        <v>61</v>
      </c>
    </row>
    <row r="1073" spans="2:18" ht="50.1" customHeight="1" x14ac:dyDescent="0.25">
      <c r="B1073" s="688">
        <v>44921</v>
      </c>
      <c r="C1073" s="688" t="s">
        <v>2351</v>
      </c>
      <c r="D1073" s="651" t="s">
        <v>2124</v>
      </c>
      <c r="E1073" s="690" t="s">
        <v>2161</v>
      </c>
      <c r="F1073" s="652" t="s">
        <v>2132</v>
      </c>
      <c r="G1073" s="689" t="s">
        <v>2162</v>
      </c>
      <c r="H1073" s="651" t="s">
        <v>2134</v>
      </c>
      <c r="I1073" s="769" t="s">
        <v>1596</v>
      </c>
      <c r="J1073" s="684">
        <v>3850.96</v>
      </c>
      <c r="K1073" s="684">
        <v>55.843200000000003</v>
      </c>
      <c r="L1073" s="655">
        <f t="shared" si="102"/>
        <v>68.960231505357854</v>
      </c>
      <c r="M1073" s="628">
        <v>60</v>
      </c>
      <c r="N1073" s="667">
        <f t="shared" si="104"/>
        <v>64.182666666666663</v>
      </c>
      <c r="O1073" s="668">
        <f t="shared" ca="1" si="101"/>
        <v>13</v>
      </c>
      <c r="P1073" s="655">
        <v>11463.7</v>
      </c>
      <c r="Q1073" s="667">
        <f t="shared" si="100"/>
        <v>11463.7</v>
      </c>
      <c r="R1073" s="669" t="s">
        <v>61</v>
      </c>
    </row>
    <row r="1074" spans="2:18" ht="50.1" customHeight="1" x14ac:dyDescent="0.25">
      <c r="B1074" s="688">
        <v>44921</v>
      </c>
      <c r="C1074" s="688" t="s">
        <v>2351</v>
      </c>
      <c r="D1074" s="651" t="s">
        <v>2124</v>
      </c>
      <c r="E1074" s="690" t="s">
        <v>2163</v>
      </c>
      <c r="F1074" s="652" t="s">
        <v>2132</v>
      </c>
      <c r="G1074" s="689" t="s">
        <v>2164</v>
      </c>
      <c r="H1074" s="651" t="s">
        <v>2134</v>
      </c>
      <c r="I1074" s="769" t="s">
        <v>1596</v>
      </c>
      <c r="J1074" s="684">
        <v>3850.96</v>
      </c>
      <c r="K1074" s="684">
        <v>55.843200000000003</v>
      </c>
      <c r="L1074" s="655">
        <f t="shared" si="102"/>
        <v>68.960231505357854</v>
      </c>
      <c r="M1074" s="628">
        <v>60</v>
      </c>
      <c r="N1074" s="667">
        <f t="shared" si="104"/>
        <v>64.182666666666663</v>
      </c>
      <c r="O1074" s="668">
        <f t="shared" ca="1" si="101"/>
        <v>13</v>
      </c>
      <c r="P1074" s="655">
        <v>11463.7</v>
      </c>
      <c r="Q1074" s="667">
        <f t="shared" si="100"/>
        <v>11463.7</v>
      </c>
      <c r="R1074" s="669" t="s">
        <v>61</v>
      </c>
    </row>
    <row r="1075" spans="2:18" ht="50.1" customHeight="1" x14ac:dyDescent="0.25">
      <c r="B1075" s="688">
        <v>44921</v>
      </c>
      <c r="C1075" s="688" t="s">
        <v>2351</v>
      </c>
      <c r="D1075" s="651" t="s">
        <v>2124</v>
      </c>
      <c r="E1075" s="690" t="s">
        <v>2165</v>
      </c>
      <c r="F1075" s="652" t="s">
        <v>2132</v>
      </c>
      <c r="G1075" s="689" t="s">
        <v>2166</v>
      </c>
      <c r="H1075" s="651" t="s">
        <v>2134</v>
      </c>
      <c r="I1075" s="769" t="s">
        <v>1596</v>
      </c>
      <c r="J1075" s="684">
        <v>3850.96</v>
      </c>
      <c r="K1075" s="684">
        <v>55.843200000000003</v>
      </c>
      <c r="L1075" s="655">
        <f t="shared" si="102"/>
        <v>68.960231505357854</v>
      </c>
      <c r="M1075" s="628">
        <v>60</v>
      </c>
      <c r="N1075" s="667">
        <f t="shared" si="104"/>
        <v>64.182666666666663</v>
      </c>
      <c r="O1075" s="668">
        <f t="shared" ca="1" si="101"/>
        <v>13</v>
      </c>
      <c r="P1075" s="655">
        <v>11463.7</v>
      </c>
      <c r="Q1075" s="667">
        <f t="shared" si="100"/>
        <v>11463.7</v>
      </c>
      <c r="R1075" s="669" t="s">
        <v>61</v>
      </c>
    </row>
    <row r="1076" spans="2:18" ht="50.1" customHeight="1" x14ac:dyDescent="0.25">
      <c r="B1076" s="688">
        <v>44921</v>
      </c>
      <c r="C1076" s="688" t="s">
        <v>2351</v>
      </c>
      <c r="D1076" s="651" t="s">
        <v>2124</v>
      </c>
      <c r="E1076" s="690" t="s">
        <v>2167</v>
      </c>
      <c r="F1076" s="652" t="s">
        <v>2132</v>
      </c>
      <c r="G1076" s="689" t="s">
        <v>2168</v>
      </c>
      <c r="H1076" s="651" t="s">
        <v>2134</v>
      </c>
      <c r="I1076" s="769" t="s">
        <v>1596</v>
      </c>
      <c r="J1076" s="684">
        <v>3850.96</v>
      </c>
      <c r="K1076" s="684">
        <v>55.843200000000003</v>
      </c>
      <c r="L1076" s="655">
        <f t="shared" si="102"/>
        <v>68.960231505357854</v>
      </c>
      <c r="M1076" s="628">
        <v>60</v>
      </c>
      <c r="N1076" s="667">
        <f t="shared" si="104"/>
        <v>64.182666666666663</v>
      </c>
      <c r="O1076" s="668">
        <f t="shared" ca="1" si="101"/>
        <v>13</v>
      </c>
      <c r="P1076" s="655">
        <v>11463.7</v>
      </c>
      <c r="Q1076" s="667">
        <f t="shared" si="100"/>
        <v>11463.7</v>
      </c>
      <c r="R1076" s="669" t="s">
        <v>61</v>
      </c>
    </row>
    <row r="1077" spans="2:18" ht="50.1" customHeight="1" x14ac:dyDescent="0.25">
      <c r="B1077" s="688">
        <v>44921</v>
      </c>
      <c r="C1077" s="688" t="s">
        <v>2351</v>
      </c>
      <c r="D1077" s="651" t="s">
        <v>2124</v>
      </c>
      <c r="E1077" s="690" t="s">
        <v>2169</v>
      </c>
      <c r="F1077" s="652" t="s">
        <v>2132</v>
      </c>
      <c r="G1077" s="689" t="s">
        <v>2170</v>
      </c>
      <c r="H1077" s="651" t="s">
        <v>2134</v>
      </c>
      <c r="I1077" s="769" t="s">
        <v>1596</v>
      </c>
      <c r="J1077" s="684">
        <v>3850.96</v>
      </c>
      <c r="K1077" s="684">
        <v>55.843200000000003</v>
      </c>
      <c r="L1077" s="655">
        <f t="shared" si="102"/>
        <v>68.960231505357854</v>
      </c>
      <c r="M1077" s="628">
        <v>60</v>
      </c>
      <c r="N1077" s="667">
        <f t="shared" si="104"/>
        <v>64.182666666666663</v>
      </c>
      <c r="O1077" s="668">
        <f t="shared" ca="1" si="101"/>
        <v>13</v>
      </c>
      <c r="P1077" s="655">
        <v>11463.7</v>
      </c>
      <c r="Q1077" s="667">
        <f t="shared" si="100"/>
        <v>11463.7</v>
      </c>
      <c r="R1077" s="669" t="s">
        <v>61</v>
      </c>
    </row>
    <row r="1078" spans="2:18" ht="50.1" customHeight="1" x14ac:dyDescent="0.25">
      <c r="B1078" s="688">
        <v>44921</v>
      </c>
      <c r="C1078" s="688" t="s">
        <v>2351</v>
      </c>
      <c r="D1078" s="651" t="s">
        <v>2124</v>
      </c>
      <c r="E1078" s="690" t="s">
        <v>2171</v>
      </c>
      <c r="F1078" s="652" t="s">
        <v>2132</v>
      </c>
      <c r="G1078" s="689" t="s">
        <v>2172</v>
      </c>
      <c r="H1078" s="651" t="s">
        <v>2134</v>
      </c>
      <c r="I1078" s="769" t="s">
        <v>1596</v>
      </c>
      <c r="J1078" s="684">
        <v>3850.96</v>
      </c>
      <c r="K1078" s="684">
        <v>55.843200000000003</v>
      </c>
      <c r="L1078" s="655">
        <f t="shared" si="102"/>
        <v>68.960231505357854</v>
      </c>
      <c r="M1078" s="628">
        <v>60</v>
      </c>
      <c r="N1078" s="667">
        <f t="shared" si="104"/>
        <v>64.182666666666663</v>
      </c>
      <c r="O1078" s="668">
        <f t="shared" ca="1" si="101"/>
        <v>13</v>
      </c>
      <c r="P1078" s="655">
        <v>11463.7</v>
      </c>
      <c r="Q1078" s="667">
        <f t="shared" si="100"/>
        <v>11463.7</v>
      </c>
      <c r="R1078" s="669" t="s">
        <v>61</v>
      </c>
    </row>
    <row r="1079" spans="2:18" ht="50.1" customHeight="1" x14ac:dyDescent="0.25">
      <c r="B1079" s="688">
        <v>44921</v>
      </c>
      <c r="C1079" s="688" t="s">
        <v>2351</v>
      </c>
      <c r="D1079" s="651" t="s">
        <v>2124</v>
      </c>
      <c r="E1079" s="690" t="s">
        <v>2173</v>
      </c>
      <c r="F1079" s="652" t="s">
        <v>2132</v>
      </c>
      <c r="G1079" s="689" t="s">
        <v>2174</v>
      </c>
      <c r="H1079" s="651" t="s">
        <v>2134</v>
      </c>
      <c r="I1079" s="769" t="s">
        <v>1596</v>
      </c>
      <c r="J1079" s="684">
        <v>3850.96</v>
      </c>
      <c r="K1079" s="684">
        <v>55.843200000000003</v>
      </c>
      <c r="L1079" s="655">
        <f t="shared" si="102"/>
        <v>68.960231505357854</v>
      </c>
      <c r="M1079" s="628">
        <v>60</v>
      </c>
      <c r="N1079" s="667">
        <f t="shared" si="104"/>
        <v>64.182666666666663</v>
      </c>
      <c r="O1079" s="668">
        <f t="shared" ca="1" si="101"/>
        <v>13</v>
      </c>
      <c r="P1079" s="655">
        <v>11463.7</v>
      </c>
      <c r="Q1079" s="667">
        <f t="shared" si="100"/>
        <v>11463.7</v>
      </c>
      <c r="R1079" s="669" t="s">
        <v>61</v>
      </c>
    </row>
    <row r="1080" spans="2:18" ht="50.1" customHeight="1" x14ac:dyDescent="0.25">
      <c r="B1080" s="688">
        <v>44921</v>
      </c>
      <c r="C1080" s="688" t="s">
        <v>2351</v>
      </c>
      <c r="D1080" s="651" t="s">
        <v>2124</v>
      </c>
      <c r="E1080" s="690" t="s">
        <v>2175</v>
      </c>
      <c r="F1080" s="652" t="s">
        <v>2132</v>
      </c>
      <c r="G1080" s="689" t="s">
        <v>2176</v>
      </c>
      <c r="H1080" s="651" t="s">
        <v>2134</v>
      </c>
      <c r="I1080" s="769" t="s">
        <v>1596</v>
      </c>
      <c r="J1080" s="684">
        <v>3850.96</v>
      </c>
      <c r="K1080" s="684">
        <v>55.843200000000003</v>
      </c>
      <c r="L1080" s="655">
        <f t="shared" si="102"/>
        <v>68.960231505357854</v>
      </c>
      <c r="M1080" s="628">
        <v>60</v>
      </c>
      <c r="N1080" s="667">
        <f t="shared" si="104"/>
        <v>64.182666666666663</v>
      </c>
      <c r="O1080" s="668">
        <f t="shared" ca="1" si="101"/>
        <v>13</v>
      </c>
      <c r="P1080" s="655">
        <v>11463.7</v>
      </c>
      <c r="Q1080" s="667">
        <f t="shared" si="100"/>
        <v>11463.7</v>
      </c>
      <c r="R1080" s="669" t="s">
        <v>61</v>
      </c>
    </row>
    <row r="1081" spans="2:18" ht="50.1" customHeight="1" x14ac:dyDescent="0.25">
      <c r="B1081" s="688">
        <v>44921</v>
      </c>
      <c r="C1081" s="688" t="s">
        <v>2351</v>
      </c>
      <c r="D1081" s="651" t="s">
        <v>2124</v>
      </c>
      <c r="E1081" s="690" t="s">
        <v>2177</v>
      </c>
      <c r="F1081" s="652" t="s">
        <v>2132</v>
      </c>
      <c r="G1081" s="689" t="s">
        <v>2178</v>
      </c>
      <c r="H1081" s="651" t="s">
        <v>2134</v>
      </c>
      <c r="I1081" s="769" t="s">
        <v>1596</v>
      </c>
      <c r="J1081" s="684">
        <v>3850.96</v>
      </c>
      <c r="K1081" s="684">
        <v>55.843200000000003</v>
      </c>
      <c r="L1081" s="655">
        <f t="shared" si="102"/>
        <v>68.960231505357854</v>
      </c>
      <c r="M1081" s="628">
        <v>60</v>
      </c>
      <c r="N1081" s="667">
        <f t="shared" si="104"/>
        <v>64.182666666666663</v>
      </c>
      <c r="O1081" s="668">
        <f t="shared" ca="1" si="101"/>
        <v>13</v>
      </c>
      <c r="P1081" s="655">
        <v>11463.7</v>
      </c>
      <c r="Q1081" s="667">
        <f t="shared" si="100"/>
        <v>11463.7</v>
      </c>
      <c r="R1081" s="669" t="s">
        <v>61</v>
      </c>
    </row>
    <row r="1082" spans="2:18" ht="50.1" customHeight="1" x14ac:dyDescent="0.25">
      <c r="B1082" s="688">
        <v>44921</v>
      </c>
      <c r="C1082" s="688" t="s">
        <v>2351</v>
      </c>
      <c r="D1082" s="651" t="s">
        <v>2124</v>
      </c>
      <c r="E1082" s="690" t="s">
        <v>2179</v>
      </c>
      <c r="F1082" s="652" t="s">
        <v>2132</v>
      </c>
      <c r="G1082" s="689" t="s">
        <v>2180</v>
      </c>
      <c r="H1082" s="651" t="s">
        <v>2134</v>
      </c>
      <c r="I1082" s="769" t="s">
        <v>1596</v>
      </c>
      <c r="J1082" s="684">
        <v>3850.96</v>
      </c>
      <c r="K1082" s="684">
        <v>55.843200000000003</v>
      </c>
      <c r="L1082" s="655">
        <f t="shared" si="102"/>
        <v>68.960231505357854</v>
      </c>
      <c r="M1082" s="628">
        <v>60</v>
      </c>
      <c r="N1082" s="667">
        <f t="shared" si="104"/>
        <v>64.182666666666663</v>
      </c>
      <c r="O1082" s="668">
        <f t="shared" ca="1" si="101"/>
        <v>13</v>
      </c>
      <c r="P1082" s="655">
        <v>11463.7</v>
      </c>
      <c r="Q1082" s="667">
        <f t="shared" si="100"/>
        <v>11463.7</v>
      </c>
      <c r="R1082" s="669" t="s">
        <v>61</v>
      </c>
    </row>
    <row r="1083" spans="2:18" ht="50.1" customHeight="1" x14ac:dyDescent="0.25">
      <c r="B1083" s="688">
        <v>44921</v>
      </c>
      <c r="C1083" s="688" t="s">
        <v>2351</v>
      </c>
      <c r="D1083" s="651" t="s">
        <v>2124</v>
      </c>
      <c r="E1083" s="690" t="s">
        <v>2181</v>
      </c>
      <c r="F1083" s="652" t="s">
        <v>2132</v>
      </c>
      <c r="G1083" s="689" t="s">
        <v>2182</v>
      </c>
      <c r="H1083" s="651" t="s">
        <v>2134</v>
      </c>
      <c r="I1083" s="769" t="s">
        <v>1596</v>
      </c>
      <c r="J1083" s="684">
        <v>3850.96</v>
      </c>
      <c r="K1083" s="684">
        <v>55.843200000000003</v>
      </c>
      <c r="L1083" s="655">
        <f t="shared" si="102"/>
        <v>68.960231505357854</v>
      </c>
      <c r="M1083" s="628">
        <v>60</v>
      </c>
      <c r="N1083" s="667">
        <f t="shared" si="104"/>
        <v>64.182666666666663</v>
      </c>
      <c r="O1083" s="668">
        <f t="shared" ca="1" si="101"/>
        <v>13</v>
      </c>
      <c r="P1083" s="655">
        <v>11463.7</v>
      </c>
      <c r="Q1083" s="667">
        <f t="shared" si="100"/>
        <v>11463.7</v>
      </c>
      <c r="R1083" s="669" t="s">
        <v>61</v>
      </c>
    </row>
    <row r="1084" spans="2:18" ht="50.1" customHeight="1" x14ac:dyDescent="0.25">
      <c r="B1084" s="688">
        <v>44921</v>
      </c>
      <c r="C1084" s="688" t="s">
        <v>2351</v>
      </c>
      <c r="D1084" s="651" t="s">
        <v>2124</v>
      </c>
      <c r="E1084" s="690" t="s">
        <v>2183</v>
      </c>
      <c r="F1084" s="652" t="s">
        <v>2132</v>
      </c>
      <c r="G1084" s="689" t="s">
        <v>2184</v>
      </c>
      <c r="H1084" s="651" t="s">
        <v>2134</v>
      </c>
      <c r="I1084" s="769" t="s">
        <v>1596</v>
      </c>
      <c r="J1084" s="684">
        <v>3850.96</v>
      </c>
      <c r="K1084" s="684">
        <v>55.843200000000003</v>
      </c>
      <c r="L1084" s="655">
        <f t="shared" si="102"/>
        <v>68.960231505357854</v>
      </c>
      <c r="M1084" s="628">
        <v>60</v>
      </c>
      <c r="N1084" s="667">
        <f t="shared" si="104"/>
        <v>64.182666666666663</v>
      </c>
      <c r="O1084" s="668">
        <f t="shared" ca="1" si="101"/>
        <v>13</v>
      </c>
      <c r="P1084" s="655">
        <v>11463.7</v>
      </c>
      <c r="Q1084" s="667">
        <f t="shared" si="100"/>
        <v>11463.7</v>
      </c>
      <c r="R1084" s="669" t="s">
        <v>61</v>
      </c>
    </row>
    <row r="1085" spans="2:18" ht="50.1" customHeight="1" x14ac:dyDescent="0.25">
      <c r="B1085" s="688">
        <v>44921</v>
      </c>
      <c r="C1085" s="688" t="s">
        <v>2351</v>
      </c>
      <c r="D1085" s="651" t="s">
        <v>2124</v>
      </c>
      <c r="E1085" s="690" t="s">
        <v>2185</v>
      </c>
      <c r="F1085" s="652" t="s">
        <v>2132</v>
      </c>
      <c r="G1085" s="689" t="s">
        <v>2186</v>
      </c>
      <c r="H1085" s="651" t="s">
        <v>2134</v>
      </c>
      <c r="I1085" s="769" t="s">
        <v>1596</v>
      </c>
      <c r="J1085" s="684">
        <v>3850.96</v>
      </c>
      <c r="K1085" s="684">
        <v>55.843200000000003</v>
      </c>
      <c r="L1085" s="655">
        <f t="shared" si="102"/>
        <v>68.960231505357854</v>
      </c>
      <c r="M1085" s="628">
        <v>60</v>
      </c>
      <c r="N1085" s="667">
        <f t="shared" si="104"/>
        <v>64.182666666666663</v>
      </c>
      <c r="O1085" s="668">
        <f t="shared" ca="1" si="101"/>
        <v>13</v>
      </c>
      <c r="P1085" s="655">
        <v>11463.7</v>
      </c>
      <c r="Q1085" s="667">
        <f t="shared" si="100"/>
        <v>11463.7</v>
      </c>
      <c r="R1085" s="669" t="s">
        <v>61</v>
      </c>
    </row>
    <row r="1086" spans="2:18" ht="50.1" customHeight="1" x14ac:dyDescent="0.25">
      <c r="B1086" s="688">
        <v>44921</v>
      </c>
      <c r="C1086" s="688" t="s">
        <v>2351</v>
      </c>
      <c r="D1086" s="651" t="s">
        <v>2124</v>
      </c>
      <c r="E1086" s="690" t="s">
        <v>2187</v>
      </c>
      <c r="F1086" s="652" t="s">
        <v>2132</v>
      </c>
      <c r="G1086" s="689" t="s">
        <v>2188</v>
      </c>
      <c r="H1086" s="651" t="s">
        <v>2134</v>
      </c>
      <c r="I1086" s="769" t="s">
        <v>1596</v>
      </c>
      <c r="J1086" s="684">
        <v>3850.96</v>
      </c>
      <c r="K1086" s="684">
        <v>55.843200000000003</v>
      </c>
      <c r="L1086" s="655">
        <f t="shared" si="102"/>
        <v>68.960231505357854</v>
      </c>
      <c r="M1086" s="628">
        <v>60</v>
      </c>
      <c r="N1086" s="667">
        <f t="shared" si="104"/>
        <v>64.182666666666663</v>
      </c>
      <c r="O1086" s="668">
        <f t="shared" ca="1" si="101"/>
        <v>13</v>
      </c>
      <c r="P1086" s="655">
        <v>11463.7</v>
      </c>
      <c r="Q1086" s="667">
        <f t="shared" si="100"/>
        <v>11463.7</v>
      </c>
      <c r="R1086" s="669" t="s">
        <v>61</v>
      </c>
    </row>
    <row r="1087" spans="2:18" ht="50.1" customHeight="1" x14ac:dyDescent="0.25">
      <c r="B1087" s="688">
        <v>44921</v>
      </c>
      <c r="C1087" s="688" t="s">
        <v>2351</v>
      </c>
      <c r="D1087" s="651" t="s">
        <v>2124</v>
      </c>
      <c r="E1087" s="690" t="s">
        <v>2189</v>
      </c>
      <c r="F1087" s="652" t="s">
        <v>2132</v>
      </c>
      <c r="G1087" s="689" t="s">
        <v>2190</v>
      </c>
      <c r="H1087" s="651" t="s">
        <v>2134</v>
      </c>
      <c r="I1087" s="769" t="s">
        <v>1596</v>
      </c>
      <c r="J1087" s="684">
        <v>3850.96</v>
      </c>
      <c r="K1087" s="684">
        <v>55.843200000000003</v>
      </c>
      <c r="L1087" s="655">
        <f t="shared" si="102"/>
        <v>68.960231505357854</v>
      </c>
      <c r="M1087" s="628">
        <v>60</v>
      </c>
      <c r="N1087" s="667">
        <f t="shared" si="104"/>
        <v>64.182666666666663</v>
      </c>
      <c r="O1087" s="668">
        <f t="shared" ca="1" si="101"/>
        <v>13</v>
      </c>
      <c r="P1087" s="655">
        <v>11463.7</v>
      </c>
      <c r="Q1087" s="667">
        <f t="shared" si="100"/>
        <v>11463.7</v>
      </c>
      <c r="R1087" s="669" t="s">
        <v>61</v>
      </c>
    </row>
    <row r="1088" spans="2:18" ht="50.1" customHeight="1" x14ac:dyDescent="0.25">
      <c r="B1088" s="688">
        <v>44921</v>
      </c>
      <c r="C1088" s="688" t="s">
        <v>2351</v>
      </c>
      <c r="D1088" s="651" t="s">
        <v>2124</v>
      </c>
      <c r="E1088" s="690" t="s">
        <v>2191</v>
      </c>
      <c r="F1088" s="652" t="s">
        <v>2132</v>
      </c>
      <c r="G1088" s="689" t="s">
        <v>2192</v>
      </c>
      <c r="H1088" s="651" t="s">
        <v>2134</v>
      </c>
      <c r="I1088" s="769" t="s">
        <v>1596</v>
      </c>
      <c r="J1088" s="684">
        <v>3850.96</v>
      </c>
      <c r="K1088" s="684">
        <v>55.843200000000003</v>
      </c>
      <c r="L1088" s="655">
        <f t="shared" si="102"/>
        <v>68.960231505357854</v>
      </c>
      <c r="M1088" s="628">
        <v>60</v>
      </c>
      <c r="N1088" s="667">
        <f t="shared" si="104"/>
        <v>64.182666666666663</v>
      </c>
      <c r="O1088" s="668">
        <f t="shared" ca="1" si="101"/>
        <v>13</v>
      </c>
      <c r="P1088" s="655">
        <v>11463.7</v>
      </c>
      <c r="Q1088" s="667">
        <f t="shared" si="100"/>
        <v>11463.7</v>
      </c>
      <c r="R1088" s="669" t="s">
        <v>61</v>
      </c>
    </row>
    <row r="1089" spans="2:18" ht="50.1" customHeight="1" x14ac:dyDescent="0.25">
      <c r="B1089" s="688">
        <v>44921</v>
      </c>
      <c r="C1089" s="688" t="s">
        <v>2351</v>
      </c>
      <c r="D1089" s="651" t="s">
        <v>2124</v>
      </c>
      <c r="E1089" s="690" t="s">
        <v>2193</v>
      </c>
      <c r="F1089" s="652" t="s">
        <v>1877</v>
      </c>
      <c r="G1089" s="689" t="s">
        <v>2194</v>
      </c>
      <c r="H1089" s="651" t="s">
        <v>2134</v>
      </c>
      <c r="I1089" s="769" t="s">
        <v>1596</v>
      </c>
      <c r="J1089" s="684">
        <v>11379.25</v>
      </c>
      <c r="K1089" s="684">
        <v>55.843200000000003</v>
      </c>
      <c r="L1089" s="655">
        <f t="shared" si="102"/>
        <v>203.77145292533379</v>
      </c>
      <c r="M1089" s="628">
        <v>60</v>
      </c>
      <c r="N1089" s="667">
        <f t="shared" si="104"/>
        <v>189.65416666666667</v>
      </c>
      <c r="O1089" s="668">
        <f t="shared" ca="1" si="101"/>
        <v>13</v>
      </c>
      <c r="P1089" s="655">
        <v>11463.7</v>
      </c>
      <c r="Q1089" s="667">
        <f t="shared" si="100"/>
        <v>11463.7</v>
      </c>
      <c r="R1089" s="669" t="s">
        <v>61</v>
      </c>
    </row>
    <row r="1090" spans="2:18" ht="50.1" customHeight="1" x14ac:dyDescent="0.25">
      <c r="B1090" s="688">
        <v>44921</v>
      </c>
      <c r="C1090" s="688" t="s">
        <v>2351</v>
      </c>
      <c r="D1090" s="651" t="s">
        <v>2124</v>
      </c>
      <c r="E1090" s="690" t="s">
        <v>2195</v>
      </c>
      <c r="F1090" s="652" t="s">
        <v>1877</v>
      </c>
      <c r="G1090" s="689" t="s">
        <v>2196</v>
      </c>
      <c r="H1090" s="651" t="s">
        <v>2134</v>
      </c>
      <c r="I1090" s="769" t="s">
        <v>1596</v>
      </c>
      <c r="J1090" s="684">
        <v>11379.25</v>
      </c>
      <c r="K1090" s="684">
        <v>55.843200000000003</v>
      </c>
      <c r="L1090" s="655">
        <f t="shared" si="102"/>
        <v>203.77145292533379</v>
      </c>
      <c r="M1090" s="628">
        <v>60</v>
      </c>
      <c r="N1090" s="667">
        <f t="shared" si="104"/>
        <v>189.65416666666667</v>
      </c>
      <c r="O1090" s="668">
        <f t="shared" ca="1" si="101"/>
        <v>13</v>
      </c>
      <c r="P1090" s="655">
        <v>11463.7</v>
      </c>
      <c r="Q1090" s="667">
        <f t="shared" si="100"/>
        <v>11463.7</v>
      </c>
      <c r="R1090" s="669" t="s">
        <v>61</v>
      </c>
    </row>
    <row r="1091" spans="2:18" ht="50.1" customHeight="1" x14ac:dyDescent="0.25">
      <c r="B1091" s="688">
        <v>44921</v>
      </c>
      <c r="C1091" s="688" t="s">
        <v>2351</v>
      </c>
      <c r="D1091" s="651" t="s">
        <v>2124</v>
      </c>
      <c r="E1091" s="690" t="s">
        <v>2197</v>
      </c>
      <c r="F1091" s="652" t="s">
        <v>1877</v>
      </c>
      <c r="G1091" s="689" t="s">
        <v>2198</v>
      </c>
      <c r="H1091" s="651" t="s">
        <v>2134</v>
      </c>
      <c r="I1091" s="769" t="s">
        <v>1596</v>
      </c>
      <c r="J1091" s="684">
        <v>11379.25</v>
      </c>
      <c r="K1091" s="684">
        <v>55.843200000000003</v>
      </c>
      <c r="L1091" s="655">
        <f t="shared" si="102"/>
        <v>203.77145292533379</v>
      </c>
      <c r="M1091" s="628">
        <v>60</v>
      </c>
      <c r="N1091" s="667">
        <f t="shared" si="104"/>
        <v>189.65416666666667</v>
      </c>
      <c r="O1091" s="668">
        <f t="shared" ca="1" si="101"/>
        <v>13</v>
      </c>
      <c r="P1091" s="655">
        <v>11463.7</v>
      </c>
      <c r="Q1091" s="667">
        <f t="shared" si="100"/>
        <v>11463.7</v>
      </c>
      <c r="R1091" s="669" t="s">
        <v>61</v>
      </c>
    </row>
    <row r="1092" spans="2:18" ht="50.1" customHeight="1" x14ac:dyDescent="0.25">
      <c r="B1092" s="688">
        <v>44921</v>
      </c>
      <c r="C1092" s="688" t="s">
        <v>2351</v>
      </c>
      <c r="D1092" s="651" t="s">
        <v>2124</v>
      </c>
      <c r="E1092" s="690" t="s">
        <v>2199</v>
      </c>
      <c r="F1092" s="652" t="s">
        <v>1877</v>
      </c>
      <c r="G1092" s="689" t="s">
        <v>2200</v>
      </c>
      <c r="H1092" s="651" t="s">
        <v>2134</v>
      </c>
      <c r="I1092" s="769" t="s">
        <v>1596</v>
      </c>
      <c r="J1092" s="684">
        <v>11379.25</v>
      </c>
      <c r="K1092" s="684">
        <v>55.843200000000003</v>
      </c>
      <c r="L1092" s="655">
        <f t="shared" si="102"/>
        <v>203.77145292533379</v>
      </c>
      <c r="M1092" s="628">
        <v>60</v>
      </c>
      <c r="N1092" s="667">
        <f t="shared" si="104"/>
        <v>189.65416666666667</v>
      </c>
      <c r="O1092" s="668">
        <f t="shared" ca="1" si="101"/>
        <v>13</v>
      </c>
      <c r="P1092" s="655">
        <v>11463.7</v>
      </c>
      <c r="Q1092" s="667">
        <f t="shared" si="100"/>
        <v>11463.7</v>
      </c>
      <c r="R1092" s="669" t="s">
        <v>61</v>
      </c>
    </row>
    <row r="1093" spans="2:18" ht="50.1" customHeight="1" x14ac:dyDescent="0.25">
      <c r="B1093" s="688">
        <v>44921</v>
      </c>
      <c r="C1093" s="688" t="s">
        <v>2351</v>
      </c>
      <c r="D1093" s="651" t="s">
        <v>2124</v>
      </c>
      <c r="E1093" s="690" t="s">
        <v>2201</v>
      </c>
      <c r="F1093" s="652" t="s">
        <v>1877</v>
      </c>
      <c r="G1093" s="689" t="s">
        <v>2202</v>
      </c>
      <c r="H1093" s="651" t="s">
        <v>2134</v>
      </c>
      <c r="I1093" s="769" t="s">
        <v>1596</v>
      </c>
      <c r="J1093" s="684">
        <v>11379.25</v>
      </c>
      <c r="K1093" s="684">
        <v>55.843200000000003</v>
      </c>
      <c r="L1093" s="655">
        <f t="shared" si="102"/>
        <v>203.77145292533379</v>
      </c>
      <c r="M1093" s="628">
        <v>60</v>
      </c>
      <c r="N1093" s="667">
        <f t="shared" si="104"/>
        <v>189.65416666666667</v>
      </c>
      <c r="O1093" s="668">
        <f t="shared" ca="1" si="101"/>
        <v>13</v>
      </c>
      <c r="P1093" s="655">
        <v>11463.7</v>
      </c>
      <c r="Q1093" s="667">
        <f t="shared" si="100"/>
        <v>11463.7</v>
      </c>
      <c r="R1093" s="669" t="s">
        <v>61</v>
      </c>
    </row>
    <row r="1094" spans="2:18" ht="50.1" customHeight="1" x14ac:dyDescent="0.25">
      <c r="B1094" s="688">
        <v>44921</v>
      </c>
      <c r="C1094" s="688" t="s">
        <v>2351</v>
      </c>
      <c r="D1094" s="651" t="s">
        <v>2124</v>
      </c>
      <c r="E1094" s="690" t="s">
        <v>2203</v>
      </c>
      <c r="F1094" s="652" t="s">
        <v>1877</v>
      </c>
      <c r="G1094" s="689" t="s">
        <v>2204</v>
      </c>
      <c r="H1094" s="651" t="s">
        <v>2134</v>
      </c>
      <c r="I1094" s="769" t="s">
        <v>1596</v>
      </c>
      <c r="J1094" s="684">
        <v>11379.25</v>
      </c>
      <c r="K1094" s="684">
        <v>55.843200000000003</v>
      </c>
      <c r="L1094" s="655">
        <f t="shared" si="102"/>
        <v>203.77145292533379</v>
      </c>
      <c r="M1094" s="628">
        <v>60</v>
      </c>
      <c r="N1094" s="667">
        <f t="shared" si="104"/>
        <v>189.65416666666667</v>
      </c>
      <c r="O1094" s="668">
        <f t="shared" ca="1" si="101"/>
        <v>13</v>
      </c>
      <c r="P1094" s="655">
        <v>11463.7</v>
      </c>
      <c r="Q1094" s="667">
        <f t="shared" si="100"/>
        <v>11463.7</v>
      </c>
      <c r="R1094" s="669" t="s">
        <v>61</v>
      </c>
    </row>
    <row r="1095" spans="2:18" ht="50.1" customHeight="1" x14ac:dyDescent="0.25">
      <c r="B1095" s="688">
        <v>44921</v>
      </c>
      <c r="C1095" s="688" t="s">
        <v>2351</v>
      </c>
      <c r="D1095" s="651" t="s">
        <v>2124</v>
      </c>
      <c r="E1095" s="690" t="s">
        <v>2205</v>
      </c>
      <c r="F1095" s="652" t="s">
        <v>1877</v>
      </c>
      <c r="G1095" s="689" t="s">
        <v>2206</v>
      </c>
      <c r="H1095" s="651" t="s">
        <v>2134</v>
      </c>
      <c r="I1095" s="769" t="s">
        <v>1596</v>
      </c>
      <c r="J1095" s="684">
        <v>11379.25</v>
      </c>
      <c r="K1095" s="684">
        <v>55.843200000000003</v>
      </c>
      <c r="L1095" s="655">
        <f t="shared" si="102"/>
        <v>203.77145292533379</v>
      </c>
      <c r="M1095" s="628">
        <v>60</v>
      </c>
      <c r="N1095" s="667">
        <f t="shared" si="104"/>
        <v>189.65416666666667</v>
      </c>
      <c r="O1095" s="668">
        <f t="shared" ca="1" si="101"/>
        <v>13</v>
      </c>
      <c r="P1095" s="655">
        <v>11463.7</v>
      </c>
      <c r="Q1095" s="667">
        <f t="shared" si="100"/>
        <v>11463.7</v>
      </c>
      <c r="R1095" s="669" t="s">
        <v>61</v>
      </c>
    </row>
    <row r="1096" spans="2:18" ht="50.1" customHeight="1" x14ac:dyDescent="0.25">
      <c r="B1096" s="688">
        <v>44921</v>
      </c>
      <c r="C1096" s="688" t="s">
        <v>2351</v>
      </c>
      <c r="D1096" s="651" t="s">
        <v>2124</v>
      </c>
      <c r="E1096" s="690" t="s">
        <v>2207</v>
      </c>
      <c r="F1096" s="652" t="s">
        <v>1877</v>
      </c>
      <c r="G1096" s="689" t="s">
        <v>2208</v>
      </c>
      <c r="H1096" s="651" t="s">
        <v>2134</v>
      </c>
      <c r="I1096" s="769" t="s">
        <v>1596</v>
      </c>
      <c r="J1096" s="684">
        <v>11379.25</v>
      </c>
      <c r="K1096" s="684">
        <v>55.843200000000003</v>
      </c>
      <c r="L1096" s="655">
        <f t="shared" si="102"/>
        <v>203.77145292533379</v>
      </c>
      <c r="M1096" s="628">
        <v>60</v>
      </c>
      <c r="N1096" s="667">
        <f t="shared" si="104"/>
        <v>189.65416666666667</v>
      </c>
      <c r="O1096" s="668">
        <f t="shared" ca="1" si="101"/>
        <v>13</v>
      </c>
      <c r="P1096" s="655">
        <v>11463.7</v>
      </c>
      <c r="Q1096" s="667">
        <f t="shared" ref="Q1096:Q1159" si="105">IF(P1096&lt;1,1,P1096)</f>
        <v>11463.7</v>
      </c>
      <c r="R1096" s="669" t="s">
        <v>61</v>
      </c>
    </row>
    <row r="1097" spans="2:18" ht="50.1" customHeight="1" x14ac:dyDescent="0.25">
      <c r="B1097" s="688">
        <v>44921</v>
      </c>
      <c r="C1097" s="688" t="s">
        <v>2351</v>
      </c>
      <c r="D1097" s="651" t="s">
        <v>2124</v>
      </c>
      <c r="E1097" s="690" t="s">
        <v>2209</v>
      </c>
      <c r="F1097" s="652" t="s">
        <v>1877</v>
      </c>
      <c r="G1097" s="689" t="s">
        <v>2210</v>
      </c>
      <c r="H1097" s="651" t="s">
        <v>2134</v>
      </c>
      <c r="I1097" s="769" t="s">
        <v>1596</v>
      </c>
      <c r="J1097" s="684">
        <v>11379.25</v>
      </c>
      <c r="K1097" s="684">
        <v>55.843200000000003</v>
      </c>
      <c r="L1097" s="655">
        <f t="shared" si="102"/>
        <v>203.77145292533379</v>
      </c>
      <c r="M1097" s="628">
        <v>60</v>
      </c>
      <c r="N1097" s="667">
        <f t="shared" si="104"/>
        <v>189.65416666666667</v>
      </c>
      <c r="O1097" s="668">
        <f t="shared" ca="1" si="101"/>
        <v>13</v>
      </c>
      <c r="P1097" s="655">
        <v>11463.7</v>
      </c>
      <c r="Q1097" s="667">
        <f t="shared" si="105"/>
        <v>11463.7</v>
      </c>
      <c r="R1097" s="669" t="s">
        <v>61</v>
      </c>
    </row>
    <row r="1098" spans="2:18" ht="50.1" customHeight="1" x14ac:dyDescent="0.25">
      <c r="B1098" s="688">
        <v>44921</v>
      </c>
      <c r="C1098" s="688" t="s">
        <v>2351</v>
      </c>
      <c r="D1098" s="651" t="s">
        <v>2124</v>
      </c>
      <c r="E1098" s="690" t="s">
        <v>2211</v>
      </c>
      <c r="F1098" s="652" t="s">
        <v>1877</v>
      </c>
      <c r="G1098" s="689" t="s">
        <v>2212</v>
      </c>
      <c r="H1098" s="651" t="s">
        <v>2134</v>
      </c>
      <c r="I1098" s="769" t="s">
        <v>1596</v>
      </c>
      <c r="J1098" s="684">
        <v>11379.25</v>
      </c>
      <c r="K1098" s="684">
        <v>55.843200000000003</v>
      </c>
      <c r="L1098" s="655">
        <f t="shared" si="102"/>
        <v>203.77145292533379</v>
      </c>
      <c r="M1098" s="628">
        <v>60</v>
      </c>
      <c r="N1098" s="667">
        <f t="shared" si="104"/>
        <v>189.65416666666667</v>
      </c>
      <c r="O1098" s="668">
        <f t="shared" ca="1" si="101"/>
        <v>13</v>
      </c>
      <c r="P1098" s="655">
        <v>11463.7</v>
      </c>
      <c r="Q1098" s="667">
        <f t="shared" si="105"/>
        <v>11463.7</v>
      </c>
      <c r="R1098" s="669" t="s">
        <v>61</v>
      </c>
    </row>
    <row r="1099" spans="2:18" ht="50.1" customHeight="1" x14ac:dyDescent="0.25">
      <c r="B1099" s="688">
        <v>44921</v>
      </c>
      <c r="C1099" s="688" t="s">
        <v>2351</v>
      </c>
      <c r="D1099" s="651" t="s">
        <v>2124</v>
      </c>
      <c r="E1099" s="690" t="s">
        <v>2213</v>
      </c>
      <c r="F1099" s="652" t="s">
        <v>1877</v>
      </c>
      <c r="G1099" s="689" t="s">
        <v>2214</v>
      </c>
      <c r="H1099" s="651" t="s">
        <v>2134</v>
      </c>
      <c r="I1099" s="769" t="s">
        <v>1596</v>
      </c>
      <c r="J1099" s="684">
        <v>11379.25</v>
      </c>
      <c r="K1099" s="684">
        <v>55.843200000000003</v>
      </c>
      <c r="L1099" s="655">
        <f t="shared" si="102"/>
        <v>203.77145292533379</v>
      </c>
      <c r="M1099" s="628">
        <v>60</v>
      </c>
      <c r="N1099" s="667">
        <f t="shared" si="104"/>
        <v>189.65416666666667</v>
      </c>
      <c r="O1099" s="668">
        <f t="shared" ref="O1099:O1164" ca="1" si="106">IF(B1099&lt;&gt;0,(ROUND((NOW()-B1099)/30,0)),0)</f>
        <v>13</v>
      </c>
      <c r="P1099" s="655">
        <v>11463.7</v>
      </c>
      <c r="Q1099" s="667">
        <f t="shared" si="105"/>
        <v>11463.7</v>
      </c>
      <c r="R1099" s="669" t="s">
        <v>61</v>
      </c>
    </row>
    <row r="1100" spans="2:18" ht="50.1" customHeight="1" x14ac:dyDescent="0.25">
      <c r="B1100" s="688">
        <v>44921</v>
      </c>
      <c r="C1100" s="688" t="s">
        <v>2351</v>
      </c>
      <c r="D1100" s="651" t="s">
        <v>2124</v>
      </c>
      <c r="E1100" s="690" t="s">
        <v>2215</v>
      </c>
      <c r="F1100" s="652" t="s">
        <v>1877</v>
      </c>
      <c r="G1100" s="689" t="s">
        <v>2216</v>
      </c>
      <c r="H1100" s="651" t="s">
        <v>2134</v>
      </c>
      <c r="I1100" s="769" t="s">
        <v>1596</v>
      </c>
      <c r="J1100" s="684">
        <v>11379.25</v>
      </c>
      <c r="K1100" s="684">
        <v>55.843200000000003</v>
      </c>
      <c r="L1100" s="655">
        <f t="shared" si="102"/>
        <v>203.77145292533379</v>
      </c>
      <c r="M1100" s="628">
        <v>60</v>
      </c>
      <c r="N1100" s="667">
        <f t="shared" si="104"/>
        <v>189.65416666666667</v>
      </c>
      <c r="O1100" s="668">
        <f t="shared" ca="1" si="106"/>
        <v>13</v>
      </c>
      <c r="P1100" s="655">
        <v>11463.7</v>
      </c>
      <c r="Q1100" s="667">
        <f t="shared" si="105"/>
        <v>11463.7</v>
      </c>
      <c r="R1100" s="669" t="s">
        <v>61</v>
      </c>
    </row>
    <row r="1101" spans="2:18" ht="50.1" customHeight="1" x14ac:dyDescent="0.25">
      <c r="B1101" s="688">
        <v>44921</v>
      </c>
      <c r="C1101" s="688" t="s">
        <v>2351</v>
      </c>
      <c r="D1101" s="651" t="s">
        <v>2124</v>
      </c>
      <c r="E1101" s="690" t="s">
        <v>2217</v>
      </c>
      <c r="F1101" s="652" t="s">
        <v>1877</v>
      </c>
      <c r="G1101" s="689" t="s">
        <v>2218</v>
      </c>
      <c r="H1101" s="651" t="s">
        <v>2134</v>
      </c>
      <c r="I1101" s="769" t="s">
        <v>1596</v>
      </c>
      <c r="J1101" s="684">
        <v>11379.25</v>
      </c>
      <c r="K1101" s="684">
        <v>55.843200000000003</v>
      </c>
      <c r="L1101" s="655">
        <f t="shared" si="102"/>
        <v>203.77145292533379</v>
      </c>
      <c r="M1101" s="628">
        <v>60</v>
      </c>
      <c r="N1101" s="667">
        <f t="shared" si="104"/>
        <v>189.65416666666667</v>
      </c>
      <c r="O1101" s="668">
        <f t="shared" ca="1" si="106"/>
        <v>13</v>
      </c>
      <c r="P1101" s="655">
        <v>11463.7</v>
      </c>
      <c r="Q1101" s="667">
        <f t="shared" si="105"/>
        <v>11463.7</v>
      </c>
      <c r="R1101" s="669" t="s">
        <v>61</v>
      </c>
    </row>
    <row r="1102" spans="2:18" ht="50.1" customHeight="1" x14ac:dyDescent="0.25">
      <c r="B1102" s="688">
        <v>44921</v>
      </c>
      <c r="C1102" s="688" t="s">
        <v>2351</v>
      </c>
      <c r="D1102" s="651" t="s">
        <v>2124</v>
      </c>
      <c r="E1102" s="690" t="s">
        <v>2219</v>
      </c>
      <c r="F1102" s="652" t="s">
        <v>1877</v>
      </c>
      <c r="G1102" s="689" t="s">
        <v>2220</v>
      </c>
      <c r="H1102" s="651" t="s">
        <v>2134</v>
      </c>
      <c r="I1102" s="769" t="s">
        <v>1596</v>
      </c>
      <c r="J1102" s="684">
        <v>11379.25</v>
      </c>
      <c r="K1102" s="684">
        <v>55.843200000000003</v>
      </c>
      <c r="L1102" s="655">
        <f t="shared" ref="L1102:L1167" si="107">+J1102/K1102</f>
        <v>203.77145292533379</v>
      </c>
      <c r="M1102" s="628">
        <v>60</v>
      </c>
      <c r="N1102" s="667">
        <f t="shared" si="104"/>
        <v>189.65416666666667</v>
      </c>
      <c r="O1102" s="668">
        <f t="shared" ca="1" si="106"/>
        <v>13</v>
      </c>
      <c r="P1102" s="655">
        <v>11463.7</v>
      </c>
      <c r="Q1102" s="667">
        <f t="shared" si="105"/>
        <v>11463.7</v>
      </c>
      <c r="R1102" s="669" t="s">
        <v>61</v>
      </c>
    </row>
    <row r="1103" spans="2:18" ht="50.1" customHeight="1" x14ac:dyDescent="0.25">
      <c r="B1103" s="688">
        <v>44921</v>
      </c>
      <c r="C1103" s="688" t="s">
        <v>2351</v>
      </c>
      <c r="D1103" s="651" t="s">
        <v>2124</v>
      </c>
      <c r="E1103" s="690" t="s">
        <v>2221</v>
      </c>
      <c r="F1103" s="652" t="s">
        <v>1877</v>
      </c>
      <c r="G1103" s="689" t="s">
        <v>2222</v>
      </c>
      <c r="H1103" s="651" t="s">
        <v>2134</v>
      </c>
      <c r="I1103" s="769" t="s">
        <v>1596</v>
      </c>
      <c r="J1103" s="684">
        <v>11379.25</v>
      </c>
      <c r="K1103" s="684">
        <v>55.843200000000003</v>
      </c>
      <c r="L1103" s="655">
        <f t="shared" si="107"/>
        <v>203.77145292533379</v>
      </c>
      <c r="M1103" s="628">
        <v>60</v>
      </c>
      <c r="N1103" s="667">
        <f t="shared" si="104"/>
        <v>189.65416666666667</v>
      </c>
      <c r="O1103" s="668">
        <f t="shared" ca="1" si="106"/>
        <v>13</v>
      </c>
      <c r="P1103" s="655">
        <v>11463.7</v>
      </c>
      <c r="Q1103" s="667">
        <f t="shared" si="105"/>
        <v>11463.7</v>
      </c>
      <c r="R1103" s="669" t="s">
        <v>61</v>
      </c>
    </row>
    <row r="1104" spans="2:18" ht="50.1" customHeight="1" x14ac:dyDescent="0.25">
      <c r="B1104" s="688">
        <v>44921</v>
      </c>
      <c r="C1104" s="688" t="s">
        <v>2351</v>
      </c>
      <c r="D1104" s="651" t="s">
        <v>2124</v>
      </c>
      <c r="E1104" s="690" t="s">
        <v>2223</v>
      </c>
      <c r="F1104" s="652" t="s">
        <v>1877</v>
      </c>
      <c r="G1104" s="689" t="s">
        <v>2224</v>
      </c>
      <c r="H1104" s="651" t="s">
        <v>2134</v>
      </c>
      <c r="I1104" s="769" t="s">
        <v>1596</v>
      </c>
      <c r="J1104" s="684">
        <v>11379.25</v>
      </c>
      <c r="K1104" s="684">
        <v>55.843200000000003</v>
      </c>
      <c r="L1104" s="655">
        <f t="shared" si="107"/>
        <v>203.77145292533379</v>
      </c>
      <c r="M1104" s="628">
        <v>60</v>
      </c>
      <c r="N1104" s="667">
        <f t="shared" si="104"/>
        <v>189.65416666666667</v>
      </c>
      <c r="O1104" s="668">
        <f t="shared" ca="1" si="106"/>
        <v>13</v>
      </c>
      <c r="P1104" s="655">
        <v>11463.7</v>
      </c>
      <c r="Q1104" s="667">
        <f t="shared" si="105"/>
        <v>11463.7</v>
      </c>
      <c r="R1104" s="669" t="s">
        <v>61</v>
      </c>
    </row>
    <row r="1105" spans="2:18" ht="50.1" customHeight="1" x14ac:dyDescent="0.25">
      <c r="B1105" s="688">
        <v>44921</v>
      </c>
      <c r="C1105" s="688" t="s">
        <v>2351</v>
      </c>
      <c r="D1105" s="651" t="s">
        <v>2124</v>
      </c>
      <c r="E1105" s="690" t="s">
        <v>2225</v>
      </c>
      <c r="F1105" s="652" t="s">
        <v>1877</v>
      </c>
      <c r="G1105" s="689" t="s">
        <v>2226</v>
      </c>
      <c r="H1105" s="651" t="s">
        <v>2134</v>
      </c>
      <c r="I1105" s="769" t="s">
        <v>1596</v>
      </c>
      <c r="J1105" s="684">
        <v>11379.25</v>
      </c>
      <c r="K1105" s="684">
        <v>55.843200000000003</v>
      </c>
      <c r="L1105" s="655">
        <f t="shared" si="107"/>
        <v>203.77145292533379</v>
      </c>
      <c r="M1105" s="628">
        <v>60</v>
      </c>
      <c r="N1105" s="667">
        <f t="shared" si="104"/>
        <v>189.65416666666667</v>
      </c>
      <c r="O1105" s="668">
        <f t="shared" ca="1" si="106"/>
        <v>13</v>
      </c>
      <c r="P1105" s="655">
        <v>11463.7</v>
      </c>
      <c r="Q1105" s="667">
        <f t="shared" si="105"/>
        <v>11463.7</v>
      </c>
      <c r="R1105" s="669" t="s">
        <v>61</v>
      </c>
    </row>
    <row r="1106" spans="2:18" ht="50.1" customHeight="1" x14ac:dyDescent="0.25">
      <c r="B1106" s="688">
        <v>44921</v>
      </c>
      <c r="C1106" s="688" t="s">
        <v>2351</v>
      </c>
      <c r="D1106" s="651" t="s">
        <v>2124</v>
      </c>
      <c r="E1106" s="690" t="s">
        <v>2227</v>
      </c>
      <c r="F1106" s="652" t="s">
        <v>1877</v>
      </c>
      <c r="G1106" s="689" t="s">
        <v>2228</v>
      </c>
      <c r="H1106" s="651" t="s">
        <v>2134</v>
      </c>
      <c r="I1106" s="769" t="s">
        <v>1596</v>
      </c>
      <c r="J1106" s="684">
        <v>11379.25</v>
      </c>
      <c r="K1106" s="684">
        <v>55.843200000000003</v>
      </c>
      <c r="L1106" s="655">
        <f t="shared" si="107"/>
        <v>203.77145292533379</v>
      </c>
      <c r="M1106" s="628">
        <v>60</v>
      </c>
      <c r="N1106" s="667">
        <f t="shared" ref="N1106:N1169" si="108">IF(AND(J1106&lt;&gt;0,M1106&lt;&gt;0),J1106/M1106,0)</f>
        <v>189.65416666666667</v>
      </c>
      <c r="O1106" s="668">
        <f t="shared" ca="1" si="106"/>
        <v>13</v>
      </c>
      <c r="P1106" s="655">
        <v>11463.7</v>
      </c>
      <c r="Q1106" s="667">
        <f t="shared" si="105"/>
        <v>11463.7</v>
      </c>
      <c r="R1106" s="669" t="s">
        <v>61</v>
      </c>
    </row>
    <row r="1107" spans="2:18" ht="50.1" customHeight="1" x14ac:dyDescent="0.25">
      <c r="B1107" s="688">
        <v>44921</v>
      </c>
      <c r="C1107" s="688" t="s">
        <v>2351</v>
      </c>
      <c r="D1107" s="651" t="s">
        <v>2124</v>
      </c>
      <c r="E1107" s="690" t="s">
        <v>2229</v>
      </c>
      <c r="F1107" s="652" t="s">
        <v>1877</v>
      </c>
      <c r="G1107" s="689" t="s">
        <v>2230</v>
      </c>
      <c r="H1107" s="651" t="s">
        <v>2134</v>
      </c>
      <c r="I1107" s="769" t="s">
        <v>1596</v>
      </c>
      <c r="J1107" s="684">
        <v>11379.25</v>
      </c>
      <c r="K1107" s="684">
        <v>55.843200000000003</v>
      </c>
      <c r="L1107" s="655">
        <f t="shared" si="107"/>
        <v>203.77145292533379</v>
      </c>
      <c r="M1107" s="628">
        <v>60</v>
      </c>
      <c r="N1107" s="667">
        <f t="shared" si="108"/>
        <v>189.65416666666667</v>
      </c>
      <c r="O1107" s="668">
        <f t="shared" ca="1" si="106"/>
        <v>13</v>
      </c>
      <c r="P1107" s="655">
        <v>11463.7</v>
      </c>
      <c r="Q1107" s="667">
        <f t="shared" si="105"/>
        <v>11463.7</v>
      </c>
      <c r="R1107" s="669" t="s">
        <v>61</v>
      </c>
    </row>
    <row r="1108" spans="2:18" ht="50.1" customHeight="1" x14ac:dyDescent="0.25">
      <c r="B1108" s="688">
        <v>44921</v>
      </c>
      <c r="C1108" s="688" t="s">
        <v>2351</v>
      </c>
      <c r="D1108" s="651" t="s">
        <v>2124</v>
      </c>
      <c r="E1108" s="690" t="s">
        <v>2231</v>
      </c>
      <c r="F1108" s="652" t="s">
        <v>1877</v>
      </c>
      <c r="G1108" s="689" t="s">
        <v>2232</v>
      </c>
      <c r="H1108" s="651" t="s">
        <v>2134</v>
      </c>
      <c r="I1108" s="769" t="s">
        <v>1596</v>
      </c>
      <c r="J1108" s="684">
        <v>11379.25</v>
      </c>
      <c r="K1108" s="684">
        <v>55.843200000000003</v>
      </c>
      <c r="L1108" s="655">
        <f t="shared" si="107"/>
        <v>203.77145292533379</v>
      </c>
      <c r="M1108" s="628">
        <v>60</v>
      </c>
      <c r="N1108" s="667">
        <f t="shared" si="108"/>
        <v>189.65416666666667</v>
      </c>
      <c r="O1108" s="668">
        <f t="shared" ca="1" si="106"/>
        <v>13</v>
      </c>
      <c r="P1108" s="655">
        <v>11463.7</v>
      </c>
      <c r="Q1108" s="667">
        <f t="shared" si="105"/>
        <v>11463.7</v>
      </c>
      <c r="R1108" s="669" t="s">
        <v>61</v>
      </c>
    </row>
    <row r="1109" spans="2:18" ht="50.1" customHeight="1" x14ac:dyDescent="0.25">
      <c r="B1109" s="688">
        <v>44921</v>
      </c>
      <c r="C1109" s="688" t="s">
        <v>2351</v>
      </c>
      <c r="D1109" s="651" t="s">
        <v>2124</v>
      </c>
      <c r="E1109" s="690" t="s">
        <v>2233</v>
      </c>
      <c r="F1109" s="652" t="s">
        <v>1877</v>
      </c>
      <c r="G1109" s="689" t="s">
        <v>2234</v>
      </c>
      <c r="H1109" s="651" t="s">
        <v>2134</v>
      </c>
      <c r="I1109" s="769" t="s">
        <v>1596</v>
      </c>
      <c r="J1109" s="684">
        <v>11379.25</v>
      </c>
      <c r="K1109" s="684">
        <v>55.843200000000003</v>
      </c>
      <c r="L1109" s="655">
        <f t="shared" si="107"/>
        <v>203.77145292533379</v>
      </c>
      <c r="M1109" s="628">
        <v>60</v>
      </c>
      <c r="N1109" s="667">
        <f t="shared" si="108"/>
        <v>189.65416666666667</v>
      </c>
      <c r="O1109" s="668">
        <f t="shared" ca="1" si="106"/>
        <v>13</v>
      </c>
      <c r="P1109" s="655">
        <v>11463.7</v>
      </c>
      <c r="Q1109" s="667">
        <f t="shared" si="105"/>
        <v>11463.7</v>
      </c>
      <c r="R1109" s="669" t="s">
        <v>61</v>
      </c>
    </row>
    <row r="1110" spans="2:18" ht="50.1" customHeight="1" x14ac:dyDescent="0.25">
      <c r="B1110" s="688">
        <v>44921</v>
      </c>
      <c r="C1110" s="688" t="s">
        <v>2351</v>
      </c>
      <c r="D1110" s="651" t="s">
        <v>2124</v>
      </c>
      <c r="E1110" s="690" t="s">
        <v>2235</v>
      </c>
      <c r="F1110" s="652" t="s">
        <v>1877</v>
      </c>
      <c r="G1110" s="689" t="s">
        <v>2236</v>
      </c>
      <c r="H1110" s="651" t="s">
        <v>2134</v>
      </c>
      <c r="I1110" s="769" t="s">
        <v>1596</v>
      </c>
      <c r="J1110" s="684">
        <v>11379.25</v>
      </c>
      <c r="K1110" s="684">
        <v>55.843200000000003</v>
      </c>
      <c r="L1110" s="655">
        <f t="shared" si="107"/>
        <v>203.77145292533379</v>
      </c>
      <c r="M1110" s="628">
        <v>60</v>
      </c>
      <c r="N1110" s="667">
        <f t="shared" si="108"/>
        <v>189.65416666666667</v>
      </c>
      <c r="O1110" s="668">
        <f t="shared" ca="1" si="106"/>
        <v>13</v>
      </c>
      <c r="P1110" s="655">
        <v>11463.7</v>
      </c>
      <c r="Q1110" s="667">
        <f t="shared" si="105"/>
        <v>11463.7</v>
      </c>
      <c r="R1110" s="669" t="s">
        <v>61</v>
      </c>
    </row>
    <row r="1111" spans="2:18" ht="50.1" customHeight="1" x14ac:dyDescent="0.25">
      <c r="B1111" s="688">
        <v>44921</v>
      </c>
      <c r="C1111" s="688" t="s">
        <v>2351</v>
      </c>
      <c r="D1111" s="651" t="s">
        <v>2124</v>
      </c>
      <c r="E1111" s="690" t="s">
        <v>2237</v>
      </c>
      <c r="F1111" s="652" t="s">
        <v>1877</v>
      </c>
      <c r="G1111" s="689" t="s">
        <v>2238</v>
      </c>
      <c r="H1111" s="651" t="s">
        <v>2134</v>
      </c>
      <c r="I1111" s="769" t="s">
        <v>1596</v>
      </c>
      <c r="J1111" s="684">
        <v>11379.25</v>
      </c>
      <c r="K1111" s="684">
        <v>55.843200000000003</v>
      </c>
      <c r="L1111" s="655">
        <f t="shared" si="107"/>
        <v>203.77145292533379</v>
      </c>
      <c r="M1111" s="628">
        <v>60</v>
      </c>
      <c r="N1111" s="667">
        <f t="shared" si="108"/>
        <v>189.65416666666667</v>
      </c>
      <c r="O1111" s="668">
        <f t="shared" ca="1" si="106"/>
        <v>13</v>
      </c>
      <c r="P1111" s="655">
        <v>11463.7</v>
      </c>
      <c r="Q1111" s="667">
        <f t="shared" si="105"/>
        <v>11463.7</v>
      </c>
      <c r="R1111" s="669" t="s">
        <v>61</v>
      </c>
    </row>
    <row r="1112" spans="2:18" ht="50.1" customHeight="1" x14ac:dyDescent="0.25">
      <c r="B1112" s="688">
        <v>44921</v>
      </c>
      <c r="C1112" s="688" t="s">
        <v>2351</v>
      </c>
      <c r="D1112" s="651" t="s">
        <v>2124</v>
      </c>
      <c r="E1112" s="690" t="s">
        <v>2239</v>
      </c>
      <c r="F1112" s="652" t="s">
        <v>1877</v>
      </c>
      <c r="G1112" s="689" t="s">
        <v>2240</v>
      </c>
      <c r="H1112" s="651" t="s">
        <v>2134</v>
      </c>
      <c r="I1112" s="769" t="s">
        <v>1596</v>
      </c>
      <c r="J1112" s="684">
        <v>11379.25</v>
      </c>
      <c r="K1112" s="684">
        <v>55.843200000000003</v>
      </c>
      <c r="L1112" s="655">
        <f t="shared" si="107"/>
        <v>203.77145292533379</v>
      </c>
      <c r="M1112" s="628">
        <v>60</v>
      </c>
      <c r="N1112" s="667">
        <f t="shared" si="108"/>
        <v>189.65416666666667</v>
      </c>
      <c r="O1112" s="668">
        <f t="shared" ca="1" si="106"/>
        <v>13</v>
      </c>
      <c r="P1112" s="655">
        <v>11463.7</v>
      </c>
      <c r="Q1112" s="667">
        <f t="shared" si="105"/>
        <v>11463.7</v>
      </c>
      <c r="R1112" s="669" t="s">
        <v>61</v>
      </c>
    </row>
    <row r="1113" spans="2:18" ht="50.1" customHeight="1" x14ac:dyDescent="0.25">
      <c r="B1113" s="688">
        <v>44921</v>
      </c>
      <c r="C1113" s="688" t="s">
        <v>2351</v>
      </c>
      <c r="D1113" s="651" t="s">
        <v>2124</v>
      </c>
      <c r="E1113" s="690" t="s">
        <v>2241</v>
      </c>
      <c r="F1113" s="652" t="s">
        <v>1877</v>
      </c>
      <c r="G1113" s="689" t="s">
        <v>2242</v>
      </c>
      <c r="H1113" s="651" t="s">
        <v>2134</v>
      </c>
      <c r="I1113" s="769" t="s">
        <v>1596</v>
      </c>
      <c r="J1113" s="684">
        <v>11379.25</v>
      </c>
      <c r="K1113" s="684">
        <v>55.843200000000003</v>
      </c>
      <c r="L1113" s="655">
        <f t="shared" si="107"/>
        <v>203.77145292533379</v>
      </c>
      <c r="M1113" s="628">
        <v>60</v>
      </c>
      <c r="N1113" s="667">
        <f t="shared" si="108"/>
        <v>189.65416666666667</v>
      </c>
      <c r="O1113" s="668">
        <f t="shared" ca="1" si="106"/>
        <v>13</v>
      </c>
      <c r="P1113" s="655">
        <v>11463.7</v>
      </c>
      <c r="Q1113" s="667">
        <f t="shared" si="105"/>
        <v>11463.7</v>
      </c>
      <c r="R1113" s="669" t="s">
        <v>61</v>
      </c>
    </row>
    <row r="1114" spans="2:18" ht="50.1" customHeight="1" x14ac:dyDescent="0.25">
      <c r="B1114" s="688">
        <v>44921</v>
      </c>
      <c r="C1114" s="688" t="s">
        <v>2351</v>
      </c>
      <c r="D1114" s="651" t="s">
        <v>2124</v>
      </c>
      <c r="E1114" s="690" t="s">
        <v>2243</v>
      </c>
      <c r="F1114" s="652" t="s">
        <v>1877</v>
      </c>
      <c r="G1114" s="689" t="s">
        <v>2244</v>
      </c>
      <c r="H1114" s="651" t="s">
        <v>2134</v>
      </c>
      <c r="I1114" s="769" t="s">
        <v>1596</v>
      </c>
      <c r="J1114" s="684">
        <v>11379.25</v>
      </c>
      <c r="K1114" s="684">
        <v>55.843200000000003</v>
      </c>
      <c r="L1114" s="655">
        <f t="shared" si="107"/>
        <v>203.77145292533379</v>
      </c>
      <c r="M1114" s="628">
        <v>60</v>
      </c>
      <c r="N1114" s="667">
        <f t="shared" si="108"/>
        <v>189.65416666666667</v>
      </c>
      <c r="O1114" s="668">
        <f t="shared" ca="1" si="106"/>
        <v>13</v>
      </c>
      <c r="P1114" s="655">
        <v>11463.7</v>
      </c>
      <c r="Q1114" s="667">
        <f t="shared" si="105"/>
        <v>11463.7</v>
      </c>
      <c r="R1114" s="669" t="s">
        <v>61</v>
      </c>
    </row>
    <row r="1115" spans="2:18" ht="50.1" customHeight="1" x14ac:dyDescent="0.25">
      <c r="B1115" s="688">
        <v>44921</v>
      </c>
      <c r="C1115" s="688" t="s">
        <v>2351</v>
      </c>
      <c r="D1115" s="651" t="s">
        <v>2124</v>
      </c>
      <c r="E1115" s="690" t="s">
        <v>2245</v>
      </c>
      <c r="F1115" s="652" t="s">
        <v>1877</v>
      </c>
      <c r="G1115" s="689" t="s">
        <v>2246</v>
      </c>
      <c r="H1115" s="651" t="s">
        <v>2134</v>
      </c>
      <c r="I1115" s="769" t="s">
        <v>1596</v>
      </c>
      <c r="J1115" s="684">
        <v>11379.25</v>
      </c>
      <c r="K1115" s="684">
        <v>55.843200000000003</v>
      </c>
      <c r="L1115" s="655">
        <f t="shared" si="107"/>
        <v>203.77145292533379</v>
      </c>
      <c r="M1115" s="628">
        <v>60</v>
      </c>
      <c r="N1115" s="667">
        <f t="shared" si="108"/>
        <v>189.65416666666667</v>
      </c>
      <c r="O1115" s="668">
        <f t="shared" ca="1" si="106"/>
        <v>13</v>
      </c>
      <c r="P1115" s="655">
        <v>11463.7</v>
      </c>
      <c r="Q1115" s="667">
        <f t="shared" si="105"/>
        <v>11463.7</v>
      </c>
      <c r="R1115" s="669" t="s">
        <v>61</v>
      </c>
    </row>
    <row r="1116" spans="2:18" ht="50.1" customHeight="1" x14ac:dyDescent="0.25">
      <c r="B1116" s="688">
        <v>44921</v>
      </c>
      <c r="C1116" s="688" t="s">
        <v>2351</v>
      </c>
      <c r="D1116" s="651" t="s">
        <v>2124</v>
      </c>
      <c r="E1116" s="690" t="s">
        <v>2247</v>
      </c>
      <c r="F1116" s="652" t="s">
        <v>1877</v>
      </c>
      <c r="G1116" s="689" t="s">
        <v>2248</v>
      </c>
      <c r="H1116" s="651" t="s">
        <v>2134</v>
      </c>
      <c r="I1116" s="769" t="s">
        <v>1596</v>
      </c>
      <c r="J1116" s="684">
        <v>11379.25</v>
      </c>
      <c r="K1116" s="684">
        <v>55.843200000000003</v>
      </c>
      <c r="L1116" s="655">
        <f t="shared" si="107"/>
        <v>203.77145292533379</v>
      </c>
      <c r="M1116" s="628">
        <v>60</v>
      </c>
      <c r="N1116" s="667">
        <f t="shared" si="108"/>
        <v>189.65416666666667</v>
      </c>
      <c r="O1116" s="668">
        <f t="shared" ca="1" si="106"/>
        <v>13</v>
      </c>
      <c r="P1116" s="655">
        <v>11463.7</v>
      </c>
      <c r="Q1116" s="667">
        <f t="shared" si="105"/>
        <v>11463.7</v>
      </c>
      <c r="R1116" s="669" t="s">
        <v>61</v>
      </c>
    </row>
    <row r="1117" spans="2:18" ht="50.1" customHeight="1" x14ac:dyDescent="0.25">
      <c r="B1117" s="688">
        <v>44921</v>
      </c>
      <c r="C1117" s="688" t="s">
        <v>2351</v>
      </c>
      <c r="D1117" s="651" t="s">
        <v>2124</v>
      </c>
      <c r="E1117" s="690" t="s">
        <v>2249</v>
      </c>
      <c r="F1117" s="652" t="s">
        <v>1877</v>
      </c>
      <c r="G1117" s="689" t="s">
        <v>2250</v>
      </c>
      <c r="H1117" s="651" t="s">
        <v>2134</v>
      </c>
      <c r="I1117" s="769" t="s">
        <v>1596</v>
      </c>
      <c r="J1117" s="684">
        <v>11379.25</v>
      </c>
      <c r="K1117" s="684">
        <v>55.843200000000003</v>
      </c>
      <c r="L1117" s="655">
        <f t="shared" si="107"/>
        <v>203.77145292533379</v>
      </c>
      <c r="M1117" s="628">
        <v>60</v>
      </c>
      <c r="N1117" s="667">
        <f t="shared" si="108"/>
        <v>189.65416666666667</v>
      </c>
      <c r="O1117" s="668">
        <f t="shared" ca="1" si="106"/>
        <v>13</v>
      </c>
      <c r="P1117" s="655">
        <v>11463.7</v>
      </c>
      <c r="Q1117" s="667">
        <f t="shared" si="105"/>
        <v>11463.7</v>
      </c>
      <c r="R1117" s="669" t="s">
        <v>61</v>
      </c>
    </row>
    <row r="1118" spans="2:18" ht="50.1" customHeight="1" x14ac:dyDescent="0.25">
      <c r="B1118" s="688">
        <v>44921</v>
      </c>
      <c r="C1118" s="688" t="s">
        <v>2351</v>
      </c>
      <c r="D1118" s="651" t="s">
        <v>2124</v>
      </c>
      <c r="E1118" s="690" t="s">
        <v>2251</v>
      </c>
      <c r="F1118" s="652" t="s">
        <v>1877</v>
      </c>
      <c r="G1118" s="689" t="s">
        <v>2252</v>
      </c>
      <c r="H1118" s="651" t="s">
        <v>2134</v>
      </c>
      <c r="I1118" s="769" t="s">
        <v>1596</v>
      </c>
      <c r="J1118" s="684">
        <v>11379.25</v>
      </c>
      <c r="K1118" s="684">
        <v>55.843200000000003</v>
      </c>
      <c r="L1118" s="655">
        <f t="shared" si="107"/>
        <v>203.77145292533379</v>
      </c>
      <c r="M1118" s="628">
        <v>60</v>
      </c>
      <c r="N1118" s="667">
        <f t="shared" si="108"/>
        <v>189.65416666666667</v>
      </c>
      <c r="O1118" s="668">
        <f t="shared" ca="1" si="106"/>
        <v>13</v>
      </c>
      <c r="P1118" s="655">
        <v>11463.7</v>
      </c>
      <c r="Q1118" s="667">
        <f t="shared" si="105"/>
        <v>11463.7</v>
      </c>
      <c r="R1118" s="669" t="s">
        <v>61</v>
      </c>
    </row>
    <row r="1119" spans="2:18" ht="50.1" customHeight="1" x14ac:dyDescent="0.25">
      <c r="B1119" s="688">
        <v>44921</v>
      </c>
      <c r="C1119" s="688" t="s">
        <v>2351</v>
      </c>
      <c r="D1119" s="651" t="s">
        <v>2124</v>
      </c>
      <c r="E1119" s="690" t="s">
        <v>2253</v>
      </c>
      <c r="F1119" s="652" t="s">
        <v>2254</v>
      </c>
      <c r="G1119" s="689" t="s">
        <v>2255</v>
      </c>
      <c r="H1119" s="651" t="s">
        <v>2128</v>
      </c>
      <c r="I1119" s="651" t="s">
        <v>19</v>
      </c>
      <c r="J1119" s="684">
        <v>17464.05</v>
      </c>
      <c r="K1119" s="684">
        <v>55.843200000000003</v>
      </c>
      <c r="L1119" s="655">
        <f t="shared" si="107"/>
        <v>312.73369004641563</v>
      </c>
      <c r="M1119" s="628">
        <v>60</v>
      </c>
      <c r="N1119" s="667">
        <f t="shared" si="108"/>
        <v>291.0675</v>
      </c>
      <c r="O1119" s="668">
        <f t="shared" ca="1" si="106"/>
        <v>13</v>
      </c>
      <c r="P1119" s="655">
        <v>11463.7</v>
      </c>
      <c r="Q1119" s="667">
        <f t="shared" si="105"/>
        <v>11463.7</v>
      </c>
      <c r="R1119" s="669" t="s">
        <v>61</v>
      </c>
    </row>
    <row r="1120" spans="2:18" ht="50.1" customHeight="1" x14ac:dyDescent="0.25">
      <c r="B1120" s="688">
        <v>44921</v>
      </c>
      <c r="C1120" s="688" t="s">
        <v>2351</v>
      </c>
      <c r="D1120" s="651" t="s">
        <v>2124</v>
      </c>
      <c r="E1120" s="690" t="s">
        <v>2256</v>
      </c>
      <c r="F1120" s="652" t="s">
        <v>2254</v>
      </c>
      <c r="G1120" s="689" t="s">
        <v>2257</v>
      </c>
      <c r="H1120" s="651" t="s">
        <v>2128</v>
      </c>
      <c r="I1120" s="651" t="s">
        <v>19</v>
      </c>
      <c r="J1120" s="684">
        <v>17464.05</v>
      </c>
      <c r="K1120" s="684">
        <v>55.843200000000003</v>
      </c>
      <c r="L1120" s="655">
        <f t="shared" si="107"/>
        <v>312.73369004641563</v>
      </c>
      <c r="M1120" s="628">
        <v>60</v>
      </c>
      <c r="N1120" s="667">
        <f t="shared" si="108"/>
        <v>291.0675</v>
      </c>
      <c r="O1120" s="668">
        <f t="shared" ca="1" si="106"/>
        <v>13</v>
      </c>
      <c r="P1120" s="655">
        <v>11463.7</v>
      </c>
      <c r="Q1120" s="667">
        <f t="shared" si="105"/>
        <v>11463.7</v>
      </c>
      <c r="R1120" s="669" t="s">
        <v>61</v>
      </c>
    </row>
    <row r="1121" spans="2:18" ht="50.1" customHeight="1" x14ac:dyDescent="0.25">
      <c r="B1121" s="688">
        <v>44921</v>
      </c>
      <c r="C1121" s="688" t="s">
        <v>2351</v>
      </c>
      <c r="D1121" s="651" t="s">
        <v>2124</v>
      </c>
      <c r="E1121" s="690" t="s">
        <v>2258</v>
      </c>
      <c r="F1121" s="652" t="s">
        <v>2254</v>
      </c>
      <c r="G1121" s="689" t="s">
        <v>2259</v>
      </c>
      <c r="H1121" s="651" t="s">
        <v>2128</v>
      </c>
      <c r="I1121" s="651" t="s">
        <v>19</v>
      </c>
      <c r="J1121" s="684">
        <v>17464.05</v>
      </c>
      <c r="K1121" s="684">
        <v>55.843200000000003</v>
      </c>
      <c r="L1121" s="655">
        <f t="shared" si="107"/>
        <v>312.73369004641563</v>
      </c>
      <c r="M1121" s="628">
        <v>60</v>
      </c>
      <c r="N1121" s="667">
        <f t="shared" si="108"/>
        <v>291.0675</v>
      </c>
      <c r="O1121" s="668">
        <f t="shared" ca="1" si="106"/>
        <v>13</v>
      </c>
      <c r="P1121" s="655">
        <v>11463.7</v>
      </c>
      <c r="Q1121" s="667">
        <f t="shared" si="105"/>
        <v>11463.7</v>
      </c>
      <c r="R1121" s="669" t="s">
        <v>61</v>
      </c>
    </row>
    <row r="1122" spans="2:18" ht="50.1" customHeight="1" x14ac:dyDescent="0.25">
      <c r="B1122" s="688">
        <v>44921</v>
      </c>
      <c r="C1122" s="688" t="s">
        <v>2351</v>
      </c>
      <c r="D1122" s="651" t="s">
        <v>2124</v>
      </c>
      <c r="E1122" s="690" t="s">
        <v>2260</v>
      </c>
      <c r="F1122" s="652" t="s">
        <v>2254</v>
      </c>
      <c r="G1122" s="689" t="s">
        <v>2261</v>
      </c>
      <c r="H1122" s="651" t="s">
        <v>2128</v>
      </c>
      <c r="I1122" s="651" t="s">
        <v>19</v>
      </c>
      <c r="J1122" s="684">
        <v>17464.05</v>
      </c>
      <c r="K1122" s="684">
        <v>55.843200000000003</v>
      </c>
      <c r="L1122" s="655">
        <f t="shared" si="107"/>
        <v>312.73369004641563</v>
      </c>
      <c r="M1122" s="628">
        <v>60</v>
      </c>
      <c r="N1122" s="667">
        <f t="shared" si="108"/>
        <v>291.0675</v>
      </c>
      <c r="O1122" s="668">
        <f t="shared" ca="1" si="106"/>
        <v>13</v>
      </c>
      <c r="P1122" s="655">
        <v>11463.7</v>
      </c>
      <c r="Q1122" s="667">
        <f t="shared" si="105"/>
        <v>11463.7</v>
      </c>
      <c r="R1122" s="669" t="s">
        <v>61</v>
      </c>
    </row>
    <row r="1123" spans="2:18" ht="50.1" customHeight="1" x14ac:dyDescent="0.25">
      <c r="B1123" s="688">
        <v>44921</v>
      </c>
      <c r="C1123" s="688" t="s">
        <v>2351</v>
      </c>
      <c r="D1123" s="651" t="s">
        <v>2124</v>
      </c>
      <c r="E1123" s="690" t="s">
        <v>2262</v>
      </c>
      <c r="F1123" s="652" t="s">
        <v>2263</v>
      </c>
      <c r="G1123" s="689" t="s">
        <v>2264</v>
      </c>
      <c r="H1123" s="651" t="s">
        <v>2128</v>
      </c>
      <c r="I1123" s="651" t="s">
        <v>19</v>
      </c>
      <c r="J1123" s="684">
        <v>34064.35</v>
      </c>
      <c r="K1123" s="684">
        <v>55.843200000000003</v>
      </c>
      <c r="L1123" s="655">
        <f t="shared" si="107"/>
        <v>609.99996418543344</v>
      </c>
      <c r="M1123" s="628">
        <v>60</v>
      </c>
      <c r="N1123" s="667">
        <f t="shared" si="108"/>
        <v>567.73916666666662</v>
      </c>
      <c r="O1123" s="668">
        <f t="shared" ca="1" si="106"/>
        <v>13</v>
      </c>
      <c r="P1123" s="655">
        <v>11463.7</v>
      </c>
      <c r="Q1123" s="667">
        <f t="shared" si="105"/>
        <v>11463.7</v>
      </c>
      <c r="R1123" s="669" t="s">
        <v>61</v>
      </c>
    </row>
    <row r="1124" spans="2:18" ht="50.1" customHeight="1" x14ac:dyDescent="0.25">
      <c r="B1124" s="688">
        <v>44921</v>
      </c>
      <c r="C1124" s="688" t="s">
        <v>2351</v>
      </c>
      <c r="D1124" s="651" t="s">
        <v>2124</v>
      </c>
      <c r="E1124" s="690" t="s">
        <v>2265</v>
      </c>
      <c r="F1124" s="652" t="s">
        <v>2266</v>
      </c>
      <c r="G1124" s="689" t="s">
        <v>2267</v>
      </c>
      <c r="H1124" s="651" t="s">
        <v>2128</v>
      </c>
      <c r="I1124" s="651" t="s">
        <v>19</v>
      </c>
      <c r="J1124" s="684">
        <v>34064.35</v>
      </c>
      <c r="K1124" s="684">
        <v>55.843200000000003</v>
      </c>
      <c r="L1124" s="655">
        <f t="shared" si="107"/>
        <v>609.99996418543344</v>
      </c>
      <c r="M1124" s="628">
        <v>60</v>
      </c>
      <c r="N1124" s="667">
        <f t="shared" si="108"/>
        <v>567.73916666666662</v>
      </c>
      <c r="O1124" s="668">
        <f t="shared" ca="1" si="106"/>
        <v>13</v>
      </c>
      <c r="P1124" s="655">
        <v>11463.7</v>
      </c>
      <c r="Q1124" s="667">
        <f t="shared" si="105"/>
        <v>11463.7</v>
      </c>
      <c r="R1124" s="669" t="s">
        <v>61</v>
      </c>
    </row>
    <row r="1125" spans="2:18" ht="50.1" customHeight="1" x14ac:dyDescent="0.25">
      <c r="B1125" s="688">
        <v>44921</v>
      </c>
      <c r="C1125" s="688" t="s">
        <v>2351</v>
      </c>
      <c r="D1125" s="651" t="s">
        <v>2124</v>
      </c>
      <c r="E1125" s="690" t="s">
        <v>2268</v>
      </c>
      <c r="F1125" s="652" t="s">
        <v>2269</v>
      </c>
      <c r="G1125" s="689" t="s">
        <v>2270</v>
      </c>
      <c r="H1125" s="651" t="s">
        <v>2128</v>
      </c>
      <c r="I1125" s="651" t="s">
        <v>19</v>
      </c>
      <c r="J1125" s="684">
        <v>34064.35</v>
      </c>
      <c r="K1125" s="684">
        <v>55.843200000000003</v>
      </c>
      <c r="L1125" s="655">
        <f t="shared" si="107"/>
        <v>609.99996418543344</v>
      </c>
      <c r="M1125" s="628">
        <v>60</v>
      </c>
      <c r="N1125" s="667">
        <f t="shared" si="108"/>
        <v>567.73916666666662</v>
      </c>
      <c r="O1125" s="668">
        <f t="shared" ca="1" si="106"/>
        <v>13</v>
      </c>
      <c r="P1125" s="655">
        <v>11463.7</v>
      </c>
      <c r="Q1125" s="667">
        <f t="shared" si="105"/>
        <v>11463.7</v>
      </c>
      <c r="R1125" s="669" t="s">
        <v>61</v>
      </c>
    </row>
    <row r="1126" spans="2:18" ht="50.1" customHeight="1" x14ac:dyDescent="0.25">
      <c r="B1126" s="688">
        <v>44921</v>
      </c>
      <c r="C1126" s="688" t="s">
        <v>2351</v>
      </c>
      <c r="D1126" s="651" t="s">
        <v>2124</v>
      </c>
      <c r="E1126" s="690" t="s">
        <v>2271</v>
      </c>
      <c r="F1126" s="652" t="s">
        <v>2272</v>
      </c>
      <c r="G1126" s="689" t="s">
        <v>2273</v>
      </c>
      <c r="H1126" s="651" t="s">
        <v>2128</v>
      </c>
      <c r="I1126" s="651" t="s">
        <v>19</v>
      </c>
      <c r="J1126" s="684">
        <v>34064.35</v>
      </c>
      <c r="K1126" s="684">
        <v>55.843200000000003</v>
      </c>
      <c r="L1126" s="655">
        <f t="shared" si="107"/>
        <v>609.99996418543344</v>
      </c>
      <c r="M1126" s="628">
        <v>60</v>
      </c>
      <c r="N1126" s="667">
        <f t="shared" si="108"/>
        <v>567.73916666666662</v>
      </c>
      <c r="O1126" s="668">
        <f t="shared" ca="1" si="106"/>
        <v>13</v>
      </c>
      <c r="P1126" s="655">
        <v>11463.7</v>
      </c>
      <c r="Q1126" s="667">
        <f t="shared" si="105"/>
        <v>11463.7</v>
      </c>
      <c r="R1126" s="669" t="s">
        <v>61</v>
      </c>
    </row>
    <row r="1127" spans="2:18" ht="50.1" customHeight="1" x14ac:dyDescent="0.25">
      <c r="B1127" s="688">
        <v>44921</v>
      </c>
      <c r="C1127" s="688" t="s">
        <v>2351</v>
      </c>
      <c r="D1127" s="651" t="s">
        <v>2124</v>
      </c>
      <c r="E1127" s="690" t="s">
        <v>2274</v>
      </c>
      <c r="F1127" s="652" t="s">
        <v>2275</v>
      </c>
      <c r="G1127" s="689" t="s">
        <v>2276</v>
      </c>
      <c r="H1127" s="679" t="s">
        <v>1596</v>
      </c>
      <c r="I1127" s="651" t="s">
        <v>2134</v>
      </c>
      <c r="J1127" s="684">
        <v>51691.29</v>
      </c>
      <c r="K1127" s="684">
        <v>55.843200000000003</v>
      </c>
      <c r="L1127" s="655">
        <f t="shared" si="107"/>
        <v>925.65057160048127</v>
      </c>
      <c r="M1127" s="628">
        <v>60</v>
      </c>
      <c r="N1127" s="667">
        <f t="shared" si="108"/>
        <v>861.52150000000006</v>
      </c>
      <c r="O1127" s="668">
        <f t="shared" ca="1" si="106"/>
        <v>13</v>
      </c>
      <c r="P1127" s="655">
        <v>11463.7</v>
      </c>
      <c r="Q1127" s="667">
        <f t="shared" si="105"/>
        <v>11463.7</v>
      </c>
      <c r="R1127" s="669" t="s">
        <v>61</v>
      </c>
    </row>
    <row r="1128" spans="2:18" ht="50.1" customHeight="1" x14ac:dyDescent="0.25">
      <c r="B1128" s="688">
        <v>44921</v>
      </c>
      <c r="C1128" s="688" t="s">
        <v>2351</v>
      </c>
      <c r="D1128" s="651" t="s">
        <v>2124</v>
      </c>
      <c r="E1128" s="690" t="s">
        <v>2277</v>
      </c>
      <c r="F1128" s="652" t="s">
        <v>2275</v>
      </c>
      <c r="G1128" s="689" t="s">
        <v>2278</v>
      </c>
      <c r="H1128" s="679" t="s">
        <v>1596</v>
      </c>
      <c r="I1128" s="651" t="s">
        <v>2134</v>
      </c>
      <c r="J1128" s="684">
        <v>51691.29</v>
      </c>
      <c r="K1128" s="684">
        <v>55.843200000000003</v>
      </c>
      <c r="L1128" s="655">
        <f t="shared" si="107"/>
        <v>925.65057160048127</v>
      </c>
      <c r="M1128" s="628">
        <v>60</v>
      </c>
      <c r="N1128" s="667">
        <f t="shared" si="108"/>
        <v>861.52150000000006</v>
      </c>
      <c r="O1128" s="668">
        <f t="shared" ca="1" si="106"/>
        <v>13</v>
      </c>
      <c r="P1128" s="655">
        <v>11463.7</v>
      </c>
      <c r="Q1128" s="667">
        <f t="shared" si="105"/>
        <v>11463.7</v>
      </c>
      <c r="R1128" s="669" t="s">
        <v>61</v>
      </c>
    </row>
    <row r="1129" spans="2:18" ht="50.1" customHeight="1" x14ac:dyDescent="0.25">
      <c r="B1129" s="688">
        <v>44921</v>
      </c>
      <c r="C1129" s="688" t="s">
        <v>2351</v>
      </c>
      <c r="D1129" s="651" t="s">
        <v>2124</v>
      </c>
      <c r="E1129" s="690" t="s">
        <v>2279</v>
      </c>
      <c r="F1129" s="652" t="s">
        <v>2275</v>
      </c>
      <c r="G1129" s="689" t="s">
        <v>2278</v>
      </c>
      <c r="H1129" s="679" t="s">
        <v>1596</v>
      </c>
      <c r="I1129" s="651" t="s">
        <v>2134</v>
      </c>
      <c r="J1129" s="684">
        <v>51691.29</v>
      </c>
      <c r="K1129" s="684">
        <v>55.843200000000003</v>
      </c>
      <c r="L1129" s="655">
        <f t="shared" si="107"/>
        <v>925.65057160048127</v>
      </c>
      <c r="M1129" s="628">
        <v>60</v>
      </c>
      <c r="N1129" s="667">
        <f t="shared" si="108"/>
        <v>861.52150000000006</v>
      </c>
      <c r="O1129" s="668">
        <f t="shared" ca="1" si="106"/>
        <v>13</v>
      </c>
      <c r="P1129" s="655">
        <v>11463.7</v>
      </c>
      <c r="Q1129" s="667">
        <f t="shared" si="105"/>
        <v>11463.7</v>
      </c>
      <c r="R1129" s="669" t="s">
        <v>61</v>
      </c>
    </row>
    <row r="1130" spans="2:18" ht="50.1" customHeight="1" x14ac:dyDescent="0.25">
      <c r="B1130" s="688">
        <v>44921</v>
      </c>
      <c r="C1130" s="688" t="s">
        <v>2351</v>
      </c>
      <c r="D1130" s="651" t="s">
        <v>2124</v>
      </c>
      <c r="E1130" s="690" t="s">
        <v>2280</v>
      </c>
      <c r="F1130" s="652" t="s">
        <v>2275</v>
      </c>
      <c r="G1130" s="689" t="s">
        <v>2281</v>
      </c>
      <c r="H1130" s="679" t="s">
        <v>1596</v>
      </c>
      <c r="I1130" s="651" t="s">
        <v>2134</v>
      </c>
      <c r="J1130" s="684">
        <v>51691.29</v>
      </c>
      <c r="K1130" s="684">
        <v>55.843200000000003</v>
      </c>
      <c r="L1130" s="655">
        <f t="shared" si="107"/>
        <v>925.65057160048127</v>
      </c>
      <c r="M1130" s="628">
        <v>60</v>
      </c>
      <c r="N1130" s="667">
        <f t="shared" si="108"/>
        <v>861.52150000000006</v>
      </c>
      <c r="O1130" s="668">
        <f t="shared" ca="1" si="106"/>
        <v>13</v>
      </c>
      <c r="P1130" s="655">
        <v>11463.7</v>
      </c>
      <c r="Q1130" s="667">
        <f t="shared" si="105"/>
        <v>11463.7</v>
      </c>
      <c r="R1130" s="669" t="s">
        <v>61</v>
      </c>
    </row>
    <row r="1131" spans="2:18" ht="50.1" customHeight="1" x14ac:dyDescent="0.25">
      <c r="B1131" s="688">
        <v>44921</v>
      </c>
      <c r="C1131" s="688" t="s">
        <v>2351</v>
      </c>
      <c r="D1131" s="651" t="s">
        <v>2124</v>
      </c>
      <c r="E1131" s="690" t="s">
        <v>2282</v>
      </c>
      <c r="F1131" s="652" t="s">
        <v>2275</v>
      </c>
      <c r="G1131" s="689" t="s">
        <v>2283</v>
      </c>
      <c r="H1131" s="679" t="s">
        <v>1596</v>
      </c>
      <c r="I1131" s="651" t="s">
        <v>2134</v>
      </c>
      <c r="J1131" s="684">
        <v>51691.29</v>
      </c>
      <c r="K1131" s="684">
        <v>55.843200000000003</v>
      </c>
      <c r="L1131" s="655">
        <f t="shared" si="107"/>
        <v>925.65057160048127</v>
      </c>
      <c r="M1131" s="628">
        <v>60</v>
      </c>
      <c r="N1131" s="667">
        <f t="shared" si="108"/>
        <v>861.52150000000006</v>
      </c>
      <c r="O1131" s="668">
        <f t="shared" ca="1" si="106"/>
        <v>13</v>
      </c>
      <c r="P1131" s="655">
        <v>11463.7</v>
      </c>
      <c r="Q1131" s="667">
        <f t="shared" si="105"/>
        <v>11463.7</v>
      </c>
      <c r="R1131" s="669" t="s">
        <v>61</v>
      </c>
    </row>
    <row r="1132" spans="2:18" ht="50.1" customHeight="1" x14ac:dyDescent="0.25">
      <c r="B1132" s="688">
        <v>44921</v>
      </c>
      <c r="C1132" s="688" t="s">
        <v>2351</v>
      </c>
      <c r="D1132" s="651" t="s">
        <v>2124</v>
      </c>
      <c r="E1132" s="690" t="s">
        <v>2284</v>
      </c>
      <c r="F1132" s="652" t="s">
        <v>2275</v>
      </c>
      <c r="G1132" s="689" t="s">
        <v>2285</v>
      </c>
      <c r="H1132" s="679" t="s">
        <v>1596</v>
      </c>
      <c r="I1132" s="651" t="s">
        <v>2134</v>
      </c>
      <c r="J1132" s="684">
        <v>51691.29</v>
      </c>
      <c r="K1132" s="684">
        <v>55.843200000000003</v>
      </c>
      <c r="L1132" s="655">
        <f t="shared" si="107"/>
        <v>925.65057160048127</v>
      </c>
      <c r="M1132" s="628">
        <v>60</v>
      </c>
      <c r="N1132" s="667">
        <f t="shared" si="108"/>
        <v>861.52150000000006</v>
      </c>
      <c r="O1132" s="668">
        <f t="shared" ca="1" si="106"/>
        <v>13</v>
      </c>
      <c r="P1132" s="655">
        <v>11463.7</v>
      </c>
      <c r="Q1132" s="667">
        <f t="shared" si="105"/>
        <v>11463.7</v>
      </c>
      <c r="R1132" s="669" t="s">
        <v>61</v>
      </c>
    </row>
    <row r="1133" spans="2:18" ht="50.1" customHeight="1" x14ac:dyDescent="0.25">
      <c r="B1133" s="688">
        <v>44921</v>
      </c>
      <c r="C1133" s="688" t="s">
        <v>2351</v>
      </c>
      <c r="D1133" s="651" t="s">
        <v>2124</v>
      </c>
      <c r="E1133" s="690" t="s">
        <v>2286</v>
      </c>
      <c r="F1133" s="652" t="s">
        <v>2275</v>
      </c>
      <c r="G1133" s="689" t="s">
        <v>2287</v>
      </c>
      <c r="H1133" s="679" t="s">
        <v>1596</v>
      </c>
      <c r="I1133" s="651" t="s">
        <v>2134</v>
      </c>
      <c r="J1133" s="684">
        <v>51691.29</v>
      </c>
      <c r="K1133" s="684">
        <v>55.843200000000003</v>
      </c>
      <c r="L1133" s="655">
        <f t="shared" si="107"/>
        <v>925.65057160048127</v>
      </c>
      <c r="M1133" s="628">
        <v>60</v>
      </c>
      <c r="N1133" s="667">
        <f t="shared" si="108"/>
        <v>861.52150000000006</v>
      </c>
      <c r="O1133" s="668">
        <f t="shared" ca="1" si="106"/>
        <v>13</v>
      </c>
      <c r="P1133" s="655">
        <v>11463.7</v>
      </c>
      <c r="Q1133" s="667">
        <f t="shared" si="105"/>
        <v>11463.7</v>
      </c>
      <c r="R1133" s="669" t="s">
        <v>61</v>
      </c>
    </row>
    <row r="1134" spans="2:18" ht="50.1" customHeight="1" x14ac:dyDescent="0.25">
      <c r="B1134" s="688">
        <v>44921</v>
      </c>
      <c r="C1134" s="688" t="s">
        <v>2351</v>
      </c>
      <c r="D1134" s="651" t="s">
        <v>2124</v>
      </c>
      <c r="E1134" s="690" t="s">
        <v>2288</v>
      </c>
      <c r="F1134" s="652" t="s">
        <v>2275</v>
      </c>
      <c r="G1134" s="689" t="s">
        <v>2289</v>
      </c>
      <c r="H1134" s="679" t="s">
        <v>1596</v>
      </c>
      <c r="I1134" s="651" t="s">
        <v>2134</v>
      </c>
      <c r="J1134" s="684">
        <v>51691.29</v>
      </c>
      <c r="K1134" s="684">
        <v>55.843200000000003</v>
      </c>
      <c r="L1134" s="655">
        <f t="shared" si="107"/>
        <v>925.65057160048127</v>
      </c>
      <c r="M1134" s="628">
        <v>60</v>
      </c>
      <c r="N1134" s="667">
        <f t="shared" si="108"/>
        <v>861.52150000000006</v>
      </c>
      <c r="O1134" s="668">
        <f t="shared" ca="1" si="106"/>
        <v>13</v>
      </c>
      <c r="P1134" s="655">
        <v>11463.7</v>
      </c>
      <c r="Q1134" s="667">
        <f t="shared" si="105"/>
        <v>11463.7</v>
      </c>
      <c r="R1134" s="669" t="s">
        <v>61</v>
      </c>
    </row>
    <row r="1135" spans="2:18" ht="50.1" customHeight="1" x14ac:dyDescent="0.25">
      <c r="B1135" s="688">
        <v>44921</v>
      </c>
      <c r="C1135" s="688" t="s">
        <v>2351</v>
      </c>
      <c r="D1135" s="651" t="s">
        <v>2124</v>
      </c>
      <c r="E1135" s="690" t="s">
        <v>2290</v>
      </c>
      <c r="F1135" s="652" t="s">
        <v>2275</v>
      </c>
      <c r="G1135" s="689" t="s">
        <v>2291</v>
      </c>
      <c r="H1135" s="679" t="s">
        <v>1596</v>
      </c>
      <c r="I1135" s="651" t="s">
        <v>2134</v>
      </c>
      <c r="J1135" s="684">
        <v>51691.29</v>
      </c>
      <c r="K1135" s="684">
        <v>55.843200000000003</v>
      </c>
      <c r="L1135" s="655">
        <f t="shared" si="107"/>
        <v>925.65057160048127</v>
      </c>
      <c r="M1135" s="628">
        <v>60</v>
      </c>
      <c r="N1135" s="667">
        <f t="shared" si="108"/>
        <v>861.52150000000006</v>
      </c>
      <c r="O1135" s="668">
        <f t="shared" ca="1" si="106"/>
        <v>13</v>
      </c>
      <c r="P1135" s="655">
        <v>11463.7</v>
      </c>
      <c r="Q1135" s="667">
        <f t="shared" si="105"/>
        <v>11463.7</v>
      </c>
      <c r="R1135" s="669" t="s">
        <v>61</v>
      </c>
    </row>
    <row r="1136" spans="2:18" ht="50.1" customHeight="1" x14ac:dyDescent="0.25">
      <c r="B1136" s="688">
        <v>44921</v>
      </c>
      <c r="C1136" s="688" t="s">
        <v>2351</v>
      </c>
      <c r="D1136" s="651" t="s">
        <v>2124</v>
      </c>
      <c r="E1136" s="690" t="s">
        <v>2292</v>
      </c>
      <c r="F1136" s="652" t="s">
        <v>2275</v>
      </c>
      <c r="G1136" s="689" t="s">
        <v>2293</v>
      </c>
      <c r="H1136" s="679" t="s">
        <v>1596</v>
      </c>
      <c r="I1136" s="651" t="s">
        <v>2134</v>
      </c>
      <c r="J1136" s="684">
        <v>51691.29</v>
      </c>
      <c r="K1136" s="684">
        <v>55.843200000000003</v>
      </c>
      <c r="L1136" s="655">
        <f t="shared" si="107"/>
        <v>925.65057160048127</v>
      </c>
      <c r="M1136" s="628">
        <v>60</v>
      </c>
      <c r="N1136" s="667">
        <f t="shared" si="108"/>
        <v>861.52150000000006</v>
      </c>
      <c r="O1136" s="668">
        <f t="shared" ca="1" si="106"/>
        <v>13</v>
      </c>
      <c r="P1136" s="655">
        <v>11463.7</v>
      </c>
      <c r="Q1136" s="667">
        <f t="shared" si="105"/>
        <v>11463.7</v>
      </c>
      <c r="R1136" s="669" t="s">
        <v>61</v>
      </c>
    </row>
    <row r="1137" spans="2:18" ht="50.1" customHeight="1" x14ac:dyDescent="0.25">
      <c r="B1137" s="688">
        <v>44921</v>
      </c>
      <c r="C1137" s="688" t="s">
        <v>2351</v>
      </c>
      <c r="D1137" s="651" t="s">
        <v>2124</v>
      </c>
      <c r="E1137" s="690" t="s">
        <v>2294</v>
      </c>
      <c r="F1137" s="652" t="s">
        <v>2275</v>
      </c>
      <c r="G1137" s="689" t="s">
        <v>2295</v>
      </c>
      <c r="H1137" s="679" t="s">
        <v>1596</v>
      </c>
      <c r="I1137" s="651" t="s">
        <v>2134</v>
      </c>
      <c r="J1137" s="684">
        <v>51691.29</v>
      </c>
      <c r="K1137" s="684">
        <v>55.843200000000003</v>
      </c>
      <c r="L1137" s="655">
        <f t="shared" si="107"/>
        <v>925.65057160048127</v>
      </c>
      <c r="M1137" s="628">
        <v>60</v>
      </c>
      <c r="N1137" s="667">
        <f t="shared" si="108"/>
        <v>861.52150000000006</v>
      </c>
      <c r="O1137" s="668">
        <f t="shared" ca="1" si="106"/>
        <v>13</v>
      </c>
      <c r="P1137" s="655">
        <v>11463.7</v>
      </c>
      <c r="Q1137" s="667">
        <f t="shared" si="105"/>
        <v>11463.7</v>
      </c>
      <c r="R1137" s="669" t="s">
        <v>61</v>
      </c>
    </row>
    <row r="1138" spans="2:18" ht="50.1" customHeight="1" x14ac:dyDescent="0.25">
      <c r="B1138" s="688">
        <v>44921</v>
      </c>
      <c r="C1138" s="688" t="s">
        <v>2351</v>
      </c>
      <c r="D1138" s="651" t="s">
        <v>2124</v>
      </c>
      <c r="E1138" s="690" t="s">
        <v>2296</v>
      </c>
      <c r="F1138" s="652" t="s">
        <v>2275</v>
      </c>
      <c r="G1138" s="689" t="s">
        <v>2297</v>
      </c>
      <c r="H1138" s="679" t="s">
        <v>1596</v>
      </c>
      <c r="I1138" s="651" t="s">
        <v>2134</v>
      </c>
      <c r="J1138" s="684">
        <v>51691.29</v>
      </c>
      <c r="K1138" s="684">
        <v>55.843200000000003</v>
      </c>
      <c r="L1138" s="655">
        <f t="shared" si="107"/>
        <v>925.65057160048127</v>
      </c>
      <c r="M1138" s="628">
        <v>60</v>
      </c>
      <c r="N1138" s="667">
        <f t="shared" si="108"/>
        <v>861.52150000000006</v>
      </c>
      <c r="O1138" s="668">
        <f t="shared" ca="1" si="106"/>
        <v>13</v>
      </c>
      <c r="P1138" s="655">
        <v>11463.7</v>
      </c>
      <c r="Q1138" s="667">
        <f t="shared" si="105"/>
        <v>11463.7</v>
      </c>
      <c r="R1138" s="669" t="s">
        <v>61</v>
      </c>
    </row>
    <row r="1139" spans="2:18" ht="50.1" customHeight="1" x14ac:dyDescent="0.25">
      <c r="B1139" s="688">
        <v>44921</v>
      </c>
      <c r="C1139" s="688" t="s">
        <v>2351</v>
      </c>
      <c r="D1139" s="651" t="s">
        <v>2124</v>
      </c>
      <c r="E1139" s="690" t="s">
        <v>2298</v>
      </c>
      <c r="F1139" s="652" t="s">
        <v>2275</v>
      </c>
      <c r="G1139" s="689" t="s">
        <v>2299</v>
      </c>
      <c r="H1139" s="679" t="s">
        <v>1596</v>
      </c>
      <c r="I1139" s="651" t="s">
        <v>2134</v>
      </c>
      <c r="J1139" s="684">
        <v>51691.29</v>
      </c>
      <c r="K1139" s="684">
        <v>55.843200000000003</v>
      </c>
      <c r="L1139" s="655">
        <f t="shared" si="107"/>
        <v>925.65057160048127</v>
      </c>
      <c r="M1139" s="628">
        <v>60</v>
      </c>
      <c r="N1139" s="667">
        <f t="shared" si="108"/>
        <v>861.52150000000006</v>
      </c>
      <c r="O1139" s="668">
        <f t="shared" ca="1" si="106"/>
        <v>13</v>
      </c>
      <c r="P1139" s="655">
        <v>11463.7</v>
      </c>
      <c r="Q1139" s="667">
        <f t="shared" si="105"/>
        <v>11463.7</v>
      </c>
      <c r="R1139" s="669" t="s">
        <v>61</v>
      </c>
    </row>
    <row r="1140" spans="2:18" ht="50.1" customHeight="1" x14ac:dyDescent="0.25">
      <c r="B1140" s="688">
        <v>44921</v>
      </c>
      <c r="C1140" s="688" t="s">
        <v>2351</v>
      </c>
      <c r="D1140" s="651" t="s">
        <v>2124</v>
      </c>
      <c r="E1140" s="690" t="s">
        <v>2300</v>
      </c>
      <c r="F1140" s="652" t="s">
        <v>2275</v>
      </c>
      <c r="G1140" s="689" t="s">
        <v>2301</v>
      </c>
      <c r="H1140" s="679" t="s">
        <v>1596</v>
      </c>
      <c r="I1140" s="651" t="s">
        <v>2134</v>
      </c>
      <c r="J1140" s="684">
        <v>51691.29</v>
      </c>
      <c r="K1140" s="684">
        <v>55.843200000000003</v>
      </c>
      <c r="L1140" s="655">
        <f t="shared" si="107"/>
        <v>925.65057160048127</v>
      </c>
      <c r="M1140" s="628">
        <v>60</v>
      </c>
      <c r="N1140" s="667">
        <f t="shared" si="108"/>
        <v>861.52150000000006</v>
      </c>
      <c r="O1140" s="668">
        <f t="shared" ca="1" si="106"/>
        <v>13</v>
      </c>
      <c r="P1140" s="655">
        <v>11463.7</v>
      </c>
      <c r="Q1140" s="667">
        <f t="shared" si="105"/>
        <v>11463.7</v>
      </c>
      <c r="R1140" s="669" t="s">
        <v>61</v>
      </c>
    </row>
    <row r="1141" spans="2:18" ht="50.1" customHeight="1" x14ac:dyDescent="0.25">
      <c r="B1141" s="688">
        <v>44921</v>
      </c>
      <c r="C1141" s="688" t="s">
        <v>2351</v>
      </c>
      <c r="D1141" s="651" t="s">
        <v>2124</v>
      </c>
      <c r="E1141" s="690" t="s">
        <v>2302</v>
      </c>
      <c r="F1141" s="652" t="s">
        <v>2275</v>
      </c>
      <c r="G1141" s="689" t="s">
        <v>2303</v>
      </c>
      <c r="H1141" s="679" t="s">
        <v>1596</v>
      </c>
      <c r="I1141" s="651" t="s">
        <v>2134</v>
      </c>
      <c r="J1141" s="684">
        <v>51691.29</v>
      </c>
      <c r="K1141" s="684">
        <v>55.843200000000003</v>
      </c>
      <c r="L1141" s="655">
        <f t="shared" si="107"/>
        <v>925.65057160048127</v>
      </c>
      <c r="M1141" s="628">
        <v>60</v>
      </c>
      <c r="N1141" s="667">
        <f t="shared" si="108"/>
        <v>861.52150000000006</v>
      </c>
      <c r="O1141" s="668">
        <f t="shared" ca="1" si="106"/>
        <v>13</v>
      </c>
      <c r="P1141" s="655">
        <v>11463.7</v>
      </c>
      <c r="Q1141" s="667">
        <f t="shared" si="105"/>
        <v>11463.7</v>
      </c>
      <c r="R1141" s="669" t="s">
        <v>61</v>
      </c>
    </row>
    <row r="1142" spans="2:18" ht="50.1" customHeight="1" x14ac:dyDescent="0.25">
      <c r="B1142" s="688">
        <v>44921</v>
      </c>
      <c r="C1142" s="688" t="s">
        <v>2351</v>
      </c>
      <c r="D1142" s="651" t="s">
        <v>2124</v>
      </c>
      <c r="E1142" s="690" t="s">
        <v>2304</v>
      </c>
      <c r="F1142" s="652" t="s">
        <v>2275</v>
      </c>
      <c r="G1142" s="689" t="s">
        <v>2305</v>
      </c>
      <c r="H1142" s="679" t="s">
        <v>1596</v>
      </c>
      <c r="I1142" s="651" t="s">
        <v>2134</v>
      </c>
      <c r="J1142" s="684">
        <v>51691.29</v>
      </c>
      <c r="K1142" s="684">
        <v>55.843200000000003</v>
      </c>
      <c r="L1142" s="655">
        <f t="shared" si="107"/>
        <v>925.65057160048127</v>
      </c>
      <c r="M1142" s="628">
        <v>60</v>
      </c>
      <c r="N1142" s="667">
        <f t="shared" si="108"/>
        <v>861.52150000000006</v>
      </c>
      <c r="O1142" s="668">
        <f t="shared" ca="1" si="106"/>
        <v>13</v>
      </c>
      <c r="P1142" s="655">
        <v>11463.7</v>
      </c>
      <c r="Q1142" s="667">
        <f t="shared" si="105"/>
        <v>11463.7</v>
      </c>
      <c r="R1142" s="669" t="s">
        <v>61</v>
      </c>
    </row>
    <row r="1143" spans="2:18" ht="50.1" customHeight="1" x14ac:dyDescent="0.25">
      <c r="B1143" s="688">
        <v>44921</v>
      </c>
      <c r="C1143" s="688" t="s">
        <v>2351</v>
      </c>
      <c r="D1143" s="651" t="s">
        <v>2124</v>
      </c>
      <c r="E1143" s="690" t="s">
        <v>2306</v>
      </c>
      <c r="F1143" s="652" t="s">
        <v>2275</v>
      </c>
      <c r="G1143" s="689" t="s">
        <v>2307</v>
      </c>
      <c r="H1143" s="679" t="s">
        <v>1596</v>
      </c>
      <c r="I1143" s="651" t="s">
        <v>2134</v>
      </c>
      <c r="J1143" s="684">
        <v>51691.29</v>
      </c>
      <c r="K1143" s="684">
        <v>55.843200000000003</v>
      </c>
      <c r="L1143" s="655">
        <f t="shared" si="107"/>
        <v>925.65057160048127</v>
      </c>
      <c r="M1143" s="628">
        <v>60</v>
      </c>
      <c r="N1143" s="667">
        <f t="shared" si="108"/>
        <v>861.52150000000006</v>
      </c>
      <c r="O1143" s="668">
        <f t="shared" ca="1" si="106"/>
        <v>13</v>
      </c>
      <c r="P1143" s="655">
        <v>11463.7</v>
      </c>
      <c r="Q1143" s="667">
        <f t="shared" si="105"/>
        <v>11463.7</v>
      </c>
      <c r="R1143" s="669" t="s">
        <v>61</v>
      </c>
    </row>
    <row r="1144" spans="2:18" ht="50.1" customHeight="1" x14ac:dyDescent="0.25">
      <c r="B1144" s="688">
        <v>44921</v>
      </c>
      <c r="C1144" s="688" t="s">
        <v>2351</v>
      </c>
      <c r="D1144" s="651" t="s">
        <v>2124</v>
      </c>
      <c r="E1144" s="690" t="s">
        <v>2308</v>
      </c>
      <c r="F1144" s="652" t="s">
        <v>2275</v>
      </c>
      <c r="G1144" s="689" t="s">
        <v>2309</v>
      </c>
      <c r="H1144" s="679" t="s">
        <v>1596</v>
      </c>
      <c r="I1144" s="651" t="s">
        <v>2134</v>
      </c>
      <c r="J1144" s="684">
        <v>51691.29</v>
      </c>
      <c r="K1144" s="684">
        <v>55.843200000000003</v>
      </c>
      <c r="L1144" s="655">
        <f t="shared" si="107"/>
        <v>925.65057160048127</v>
      </c>
      <c r="M1144" s="628">
        <v>60</v>
      </c>
      <c r="N1144" s="667">
        <f t="shared" si="108"/>
        <v>861.52150000000006</v>
      </c>
      <c r="O1144" s="668">
        <f t="shared" ca="1" si="106"/>
        <v>13</v>
      </c>
      <c r="P1144" s="655">
        <v>11463.7</v>
      </c>
      <c r="Q1144" s="667">
        <f t="shared" si="105"/>
        <v>11463.7</v>
      </c>
      <c r="R1144" s="669" t="s">
        <v>61</v>
      </c>
    </row>
    <row r="1145" spans="2:18" ht="50.1" customHeight="1" x14ac:dyDescent="0.25">
      <c r="B1145" s="688">
        <v>44921</v>
      </c>
      <c r="C1145" s="688" t="s">
        <v>2351</v>
      </c>
      <c r="D1145" s="651" t="s">
        <v>2124</v>
      </c>
      <c r="E1145" s="690" t="s">
        <v>2310</v>
      </c>
      <c r="F1145" s="652" t="s">
        <v>2275</v>
      </c>
      <c r="G1145" s="689" t="s">
        <v>2311</v>
      </c>
      <c r="H1145" s="679" t="s">
        <v>1596</v>
      </c>
      <c r="I1145" s="651" t="s">
        <v>2134</v>
      </c>
      <c r="J1145" s="684">
        <v>51691.29</v>
      </c>
      <c r="K1145" s="684">
        <v>55.843200000000003</v>
      </c>
      <c r="L1145" s="655">
        <f t="shared" si="107"/>
        <v>925.65057160048127</v>
      </c>
      <c r="M1145" s="628">
        <v>60</v>
      </c>
      <c r="N1145" s="667">
        <f t="shared" si="108"/>
        <v>861.52150000000006</v>
      </c>
      <c r="O1145" s="668">
        <f t="shared" ca="1" si="106"/>
        <v>13</v>
      </c>
      <c r="P1145" s="655">
        <v>11463.7</v>
      </c>
      <c r="Q1145" s="667">
        <f t="shared" si="105"/>
        <v>11463.7</v>
      </c>
      <c r="R1145" s="669" t="s">
        <v>61</v>
      </c>
    </row>
    <row r="1146" spans="2:18" ht="50.1" customHeight="1" x14ac:dyDescent="0.25">
      <c r="B1146" s="688">
        <v>44921</v>
      </c>
      <c r="C1146" s="688" t="s">
        <v>2351</v>
      </c>
      <c r="D1146" s="651" t="s">
        <v>2124</v>
      </c>
      <c r="E1146" s="690" t="s">
        <v>2312</v>
      </c>
      <c r="F1146" s="652" t="s">
        <v>2275</v>
      </c>
      <c r="G1146" s="689" t="s">
        <v>2313</v>
      </c>
      <c r="H1146" s="679" t="s">
        <v>1596</v>
      </c>
      <c r="I1146" s="651" t="s">
        <v>2134</v>
      </c>
      <c r="J1146" s="684">
        <v>51691.29</v>
      </c>
      <c r="K1146" s="684">
        <v>55.843200000000003</v>
      </c>
      <c r="L1146" s="655">
        <f t="shared" si="107"/>
        <v>925.65057160048127</v>
      </c>
      <c r="M1146" s="628">
        <v>60</v>
      </c>
      <c r="N1146" s="667">
        <f t="shared" si="108"/>
        <v>861.52150000000006</v>
      </c>
      <c r="O1146" s="668">
        <f t="shared" ca="1" si="106"/>
        <v>13</v>
      </c>
      <c r="P1146" s="655">
        <v>11463.7</v>
      </c>
      <c r="Q1146" s="667">
        <f t="shared" si="105"/>
        <v>11463.7</v>
      </c>
      <c r="R1146" s="669" t="s">
        <v>61</v>
      </c>
    </row>
    <row r="1147" spans="2:18" ht="50.1" customHeight="1" x14ac:dyDescent="0.25">
      <c r="B1147" s="688">
        <v>44921</v>
      </c>
      <c r="C1147" s="688" t="s">
        <v>2351</v>
      </c>
      <c r="D1147" s="651" t="s">
        <v>2124</v>
      </c>
      <c r="E1147" s="690" t="s">
        <v>2314</v>
      </c>
      <c r="F1147" s="652" t="s">
        <v>2275</v>
      </c>
      <c r="G1147" s="689" t="s">
        <v>2315</v>
      </c>
      <c r="H1147" s="679" t="s">
        <v>1596</v>
      </c>
      <c r="I1147" s="651" t="s">
        <v>2134</v>
      </c>
      <c r="J1147" s="684">
        <v>51691.29</v>
      </c>
      <c r="K1147" s="684">
        <v>55.843200000000003</v>
      </c>
      <c r="L1147" s="655">
        <f t="shared" si="107"/>
        <v>925.65057160048127</v>
      </c>
      <c r="M1147" s="628">
        <v>60</v>
      </c>
      <c r="N1147" s="667">
        <f t="shared" si="108"/>
        <v>861.52150000000006</v>
      </c>
      <c r="O1147" s="668">
        <f t="shared" ca="1" si="106"/>
        <v>13</v>
      </c>
      <c r="P1147" s="655">
        <v>11463.7</v>
      </c>
      <c r="Q1147" s="667">
        <f t="shared" si="105"/>
        <v>11463.7</v>
      </c>
      <c r="R1147" s="669" t="s">
        <v>61</v>
      </c>
    </row>
    <row r="1148" spans="2:18" ht="50.1" customHeight="1" x14ac:dyDescent="0.25">
      <c r="B1148" s="688">
        <v>44921</v>
      </c>
      <c r="C1148" s="688" t="s">
        <v>2351</v>
      </c>
      <c r="D1148" s="651" t="s">
        <v>2124</v>
      </c>
      <c r="E1148" s="690" t="s">
        <v>2316</v>
      </c>
      <c r="F1148" s="652" t="s">
        <v>2275</v>
      </c>
      <c r="G1148" s="689" t="s">
        <v>2317</v>
      </c>
      <c r="H1148" s="679" t="s">
        <v>395</v>
      </c>
      <c r="I1148" s="651" t="s">
        <v>4418</v>
      </c>
      <c r="J1148" s="684">
        <v>51691.29</v>
      </c>
      <c r="K1148" s="684">
        <v>55.843200000000003</v>
      </c>
      <c r="L1148" s="655">
        <f t="shared" si="107"/>
        <v>925.65057160048127</v>
      </c>
      <c r="M1148" s="628">
        <v>60</v>
      </c>
      <c r="N1148" s="667">
        <f t="shared" si="108"/>
        <v>861.52150000000006</v>
      </c>
      <c r="O1148" s="668">
        <f t="shared" ca="1" si="106"/>
        <v>13</v>
      </c>
      <c r="P1148" s="655">
        <v>11463.7</v>
      </c>
      <c r="Q1148" s="667">
        <f t="shared" si="105"/>
        <v>11463.7</v>
      </c>
      <c r="R1148" s="669" t="s">
        <v>61</v>
      </c>
    </row>
    <row r="1149" spans="2:18" ht="50.1" customHeight="1" x14ac:dyDescent="0.25">
      <c r="B1149" s="688">
        <v>44921</v>
      </c>
      <c r="C1149" s="688" t="s">
        <v>2351</v>
      </c>
      <c r="D1149" s="651" t="s">
        <v>2124</v>
      </c>
      <c r="E1149" s="690" t="s">
        <v>2318</v>
      </c>
      <c r="F1149" s="652" t="s">
        <v>2275</v>
      </c>
      <c r="G1149" s="689" t="s">
        <v>2319</v>
      </c>
      <c r="H1149" s="679" t="s">
        <v>1596</v>
      </c>
      <c r="I1149" s="651" t="s">
        <v>2134</v>
      </c>
      <c r="J1149" s="684">
        <v>51691.29</v>
      </c>
      <c r="K1149" s="684">
        <v>55.843200000000003</v>
      </c>
      <c r="L1149" s="655">
        <f t="shared" si="107"/>
        <v>925.65057160048127</v>
      </c>
      <c r="M1149" s="628">
        <v>60</v>
      </c>
      <c r="N1149" s="667">
        <f t="shared" si="108"/>
        <v>861.52150000000006</v>
      </c>
      <c r="O1149" s="668">
        <f t="shared" ca="1" si="106"/>
        <v>13</v>
      </c>
      <c r="P1149" s="655">
        <v>11463.7</v>
      </c>
      <c r="Q1149" s="667">
        <f t="shared" si="105"/>
        <v>11463.7</v>
      </c>
      <c r="R1149" s="669" t="s">
        <v>61</v>
      </c>
    </row>
    <row r="1150" spans="2:18" ht="50.1" customHeight="1" x14ac:dyDescent="0.25">
      <c r="B1150" s="688">
        <v>44921</v>
      </c>
      <c r="C1150" s="688" t="s">
        <v>2351</v>
      </c>
      <c r="D1150" s="651" t="s">
        <v>2124</v>
      </c>
      <c r="E1150" s="690" t="s">
        <v>2320</v>
      </c>
      <c r="F1150" s="652" t="s">
        <v>2275</v>
      </c>
      <c r="G1150" s="689" t="s">
        <v>2321</v>
      </c>
      <c r="H1150" s="679" t="s">
        <v>1596</v>
      </c>
      <c r="I1150" s="651" t="s">
        <v>2134</v>
      </c>
      <c r="J1150" s="684">
        <v>51691.29</v>
      </c>
      <c r="K1150" s="684">
        <v>55.843200000000003</v>
      </c>
      <c r="L1150" s="655">
        <f t="shared" si="107"/>
        <v>925.65057160048127</v>
      </c>
      <c r="M1150" s="628">
        <v>60</v>
      </c>
      <c r="N1150" s="667">
        <f t="shared" si="108"/>
        <v>861.52150000000006</v>
      </c>
      <c r="O1150" s="668">
        <f t="shared" ca="1" si="106"/>
        <v>13</v>
      </c>
      <c r="P1150" s="655">
        <v>11463.7</v>
      </c>
      <c r="Q1150" s="667">
        <f t="shared" si="105"/>
        <v>11463.7</v>
      </c>
      <c r="R1150" s="669" t="s">
        <v>61</v>
      </c>
    </row>
    <row r="1151" spans="2:18" ht="50.1" customHeight="1" x14ac:dyDescent="0.25">
      <c r="B1151" s="688">
        <v>44921</v>
      </c>
      <c r="C1151" s="688" t="s">
        <v>2351</v>
      </c>
      <c r="D1151" s="651" t="s">
        <v>2124</v>
      </c>
      <c r="E1151" s="690" t="s">
        <v>2322</v>
      </c>
      <c r="F1151" s="652" t="s">
        <v>2275</v>
      </c>
      <c r="G1151" s="689" t="s">
        <v>2323</v>
      </c>
      <c r="H1151" s="679" t="s">
        <v>1596</v>
      </c>
      <c r="I1151" s="651" t="s">
        <v>2134</v>
      </c>
      <c r="J1151" s="684">
        <v>51691.29</v>
      </c>
      <c r="K1151" s="684">
        <v>55.843200000000003</v>
      </c>
      <c r="L1151" s="655">
        <f t="shared" si="107"/>
        <v>925.65057160048127</v>
      </c>
      <c r="M1151" s="628">
        <v>60</v>
      </c>
      <c r="N1151" s="667">
        <f t="shared" si="108"/>
        <v>861.52150000000006</v>
      </c>
      <c r="O1151" s="668">
        <f t="shared" ca="1" si="106"/>
        <v>13</v>
      </c>
      <c r="P1151" s="655">
        <v>11463.7</v>
      </c>
      <c r="Q1151" s="667">
        <f t="shared" si="105"/>
        <v>11463.7</v>
      </c>
      <c r="R1151" s="669" t="s">
        <v>61</v>
      </c>
    </row>
    <row r="1152" spans="2:18" ht="50.1" customHeight="1" x14ac:dyDescent="0.25">
      <c r="B1152" s="688">
        <v>44921</v>
      </c>
      <c r="C1152" s="688" t="s">
        <v>2351</v>
      </c>
      <c r="D1152" s="651" t="s">
        <v>2124</v>
      </c>
      <c r="E1152" s="690" t="s">
        <v>2324</v>
      </c>
      <c r="F1152" s="652" t="s">
        <v>2275</v>
      </c>
      <c r="G1152" s="689" t="s">
        <v>2325</v>
      </c>
      <c r="H1152" s="679" t="s">
        <v>1596</v>
      </c>
      <c r="I1152" s="651" t="s">
        <v>2134</v>
      </c>
      <c r="J1152" s="684">
        <v>51691.29</v>
      </c>
      <c r="K1152" s="684">
        <v>55.843200000000003</v>
      </c>
      <c r="L1152" s="655">
        <f t="shared" si="107"/>
        <v>925.65057160048127</v>
      </c>
      <c r="M1152" s="628">
        <v>60</v>
      </c>
      <c r="N1152" s="667">
        <f t="shared" si="108"/>
        <v>861.52150000000006</v>
      </c>
      <c r="O1152" s="668">
        <f t="shared" ca="1" si="106"/>
        <v>13</v>
      </c>
      <c r="P1152" s="655">
        <v>11463.7</v>
      </c>
      <c r="Q1152" s="667">
        <f t="shared" si="105"/>
        <v>11463.7</v>
      </c>
      <c r="R1152" s="669" t="s">
        <v>61</v>
      </c>
    </row>
    <row r="1153" spans="2:18" ht="50.1" customHeight="1" x14ac:dyDescent="0.25">
      <c r="B1153" s="688">
        <v>44921</v>
      </c>
      <c r="C1153" s="688" t="s">
        <v>2351</v>
      </c>
      <c r="D1153" s="651" t="s">
        <v>2124</v>
      </c>
      <c r="E1153" s="690" t="s">
        <v>2326</v>
      </c>
      <c r="F1153" s="652" t="s">
        <v>2275</v>
      </c>
      <c r="G1153" s="689" t="s">
        <v>2327</v>
      </c>
      <c r="H1153" s="679" t="s">
        <v>1596</v>
      </c>
      <c r="I1153" s="651" t="s">
        <v>2134</v>
      </c>
      <c r="J1153" s="684">
        <v>51691.29</v>
      </c>
      <c r="K1153" s="684">
        <v>55.843200000000003</v>
      </c>
      <c r="L1153" s="655">
        <f t="shared" si="107"/>
        <v>925.65057160048127</v>
      </c>
      <c r="M1153" s="628">
        <v>60</v>
      </c>
      <c r="N1153" s="667">
        <f t="shared" si="108"/>
        <v>861.52150000000006</v>
      </c>
      <c r="O1153" s="668">
        <f t="shared" ca="1" si="106"/>
        <v>13</v>
      </c>
      <c r="P1153" s="655">
        <v>11463.7</v>
      </c>
      <c r="Q1153" s="667">
        <f t="shared" si="105"/>
        <v>11463.7</v>
      </c>
      <c r="R1153" s="669" t="s">
        <v>61</v>
      </c>
    </row>
    <row r="1154" spans="2:18" ht="50.1" customHeight="1" x14ac:dyDescent="0.25">
      <c r="B1154" s="688">
        <v>44921</v>
      </c>
      <c r="C1154" s="688" t="s">
        <v>2351</v>
      </c>
      <c r="D1154" s="651" t="s">
        <v>2124</v>
      </c>
      <c r="E1154" s="690" t="s">
        <v>2328</v>
      </c>
      <c r="F1154" s="652" t="s">
        <v>2275</v>
      </c>
      <c r="G1154" s="689" t="s">
        <v>2329</v>
      </c>
      <c r="H1154" s="679" t="s">
        <v>1596</v>
      </c>
      <c r="I1154" s="651" t="s">
        <v>2134</v>
      </c>
      <c r="J1154" s="684">
        <v>51691.29</v>
      </c>
      <c r="K1154" s="684">
        <v>55.843200000000003</v>
      </c>
      <c r="L1154" s="655">
        <f t="shared" si="107"/>
        <v>925.65057160048127</v>
      </c>
      <c r="M1154" s="628">
        <v>60</v>
      </c>
      <c r="N1154" s="667">
        <f t="shared" si="108"/>
        <v>861.52150000000006</v>
      </c>
      <c r="O1154" s="668">
        <f t="shared" ca="1" si="106"/>
        <v>13</v>
      </c>
      <c r="P1154" s="655">
        <v>11463.7</v>
      </c>
      <c r="Q1154" s="667">
        <f t="shared" si="105"/>
        <v>11463.7</v>
      </c>
      <c r="R1154" s="669" t="s">
        <v>61</v>
      </c>
    </row>
    <row r="1155" spans="2:18" ht="50.1" customHeight="1" x14ac:dyDescent="0.25">
      <c r="B1155" s="688">
        <v>44921</v>
      </c>
      <c r="C1155" s="688" t="s">
        <v>2351</v>
      </c>
      <c r="D1155" s="651" t="s">
        <v>2124</v>
      </c>
      <c r="E1155" s="690" t="s">
        <v>2330</v>
      </c>
      <c r="F1155" s="652" t="s">
        <v>2275</v>
      </c>
      <c r="G1155" s="689" t="s">
        <v>2331</v>
      </c>
      <c r="H1155" s="679" t="s">
        <v>1596</v>
      </c>
      <c r="I1155" s="651" t="s">
        <v>2134</v>
      </c>
      <c r="J1155" s="684">
        <v>51691.29</v>
      </c>
      <c r="K1155" s="684">
        <v>55.843200000000003</v>
      </c>
      <c r="L1155" s="655">
        <f t="shared" si="107"/>
        <v>925.65057160048127</v>
      </c>
      <c r="M1155" s="628">
        <v>60</v>
      </c>
      <c r="N1155" s="667">
        <f t="shared" si="108"/>
        <v>861.52150000000006</v>
      </c>
      <c r="O1155" s="668">
        <f t="shared" ca="1" si="106"/>
        <v>13</v>
      </c>
      <c r="P1155" s="655">
        <v>11463.7</v>
      </c>
      <c r="Q1155" s="667">
        <f t="shared" si="105"/>
        <v>11463.7</v>
      </c>
      <c r="R1155" s="669" t="s">
        <v>61</v>
      </c>
    </row>
    <row r="1156" spans="2:18" ht="63.75" customHeight="1" x14ac:dyDescent="0.25">
      <c r="B1156" s="688">
        <v>44921</v>
      </c>
      <c r="C1156" s="688" t="s">
        <v>2351</v>
      </c>
      <c r="D1156" s="651" t="s">
        <v>2124</v>
      </c>
      <c r="E1156" s="690" t="s">
        <v>2332</v>
      </c>
      <c r="F1156" s="652" t="s">
        <v>2275</v>
      </c>
      <c r="G1156" s="689" t="s">
        <v>2333</v>
      </c>
      <c r="H1156" s="679" t="s">
        <v>1596</v>
      </c>
      <c r="I1156" s="651" t="s">
        <v>2134</v>
      </c>
      <c r="J1156" s="684">
        <v>51691.29</v>
      </c>
      <c r="K1156" s="684">
        <v>55.843200000000003</v>
      </c>
      <c r="L1156" s="655">
        <f t="shared" si="107"/>
        <v>925.65057160048127</v>
      </c>
      <c r="M1156" s="628">
        <v>60</v>
      </c>
      <c r="N1156" s="667">
        <f t="shared" si="108"/>
        <v>861.52150000000006</v>
      </c>
      <c r="O1156" s="668">
        <f t="shared" ca="1" si="106"/>
        <v>13</v>
      </c>
      <c r="P1156" s="655">
        <v>11463.7</v>
      </c>
      <c r="Q1156" s="667">
        <f t="shared" si="105"/>
        <v>11463.7</v>
      </c>
      <c r="R1156" s="669" t="s">
        <v>61</v>
      </c>
    </row>
    <row r="1157" spans="2:18" ht="50.1" customHeight="1" x14ac:dyDescent="0.25">
      <c r="B1157" s="688">
        <v>44945</v>
      </c>
      <c r="C1157" s="688">
        <v>45111</v>
      </c>
      <c r="D1157" s="651" t="s">
        <v>4348</v>
      </c>
      <c r="E1157" s="615" t="s">
        <v>4213</v>
      </c>
      <c r="F1157" s="652" t="s">
        <v>4349</v>
      </c>
      <c r="G1157" s="689" t="s">
        <v>4350</v>
      </c>
      <c r="H1157" s="651" t="s">
        <v>4275</v>
      </c>
      <c r="I1157" s="651" t="s">
        <v>19</v>
      </c>
      <c r="J1157" s="684">
        <v>368663.86</v>
      </c>
      <c r="K1157" s="684">
        <v>56.4557</v>
      </c>
      <c r="L1157" s="655">
        <f t="shared" si="107"/>
        <v>6530.1441661338004</v>
      </c>
      <c r="M1157" s="628">
        <v>60</v>
      </c>
      <c r="N1157" s="667">
        <f t="shared" si="108"/>
        <v>6144.3976666666667</v>
      </c>
      <c r="O1157" s="668">
        <f t="shared" ca="1" si="106"/>
        <v>12</v>
      </c>
      <c r="P1157" s="655">
        <v>11463.7</v>
      </c>
      <c r="Q1157" s="667">
        <f t="shared" si="105"/>
        <v>11463.7</v>
      </c>
      <c r="R1157" s="669" t="s">
        <v>4351</v>
      </c>
    </row>
    <row r="1158" spans="2:18" ht="50.1" customHeight="1" x14ac:dyDescent="0.25">
      <c r="B1158" s="688">
        <v>44945</v>
      </c>
      <c r="C1158" s="688">
        <v>45111</v>
      </c>
      <c r="D1158" s="651" t="s">
        <v>4348</v>
      </c>
      <c r="E1158" s="615" t="s">
        <v>4214</v>
      </c>
      <c r="F1158" s="652" t="s">
        <v>4352</v>
      </c>
      <c r="G1158" s="689" t="s">
        <v>4353</v>
      </c>
      <c r="H1158" s="651" t="s">
        <v>4275</v>
      </c>
      <c r="I1158" s="651" t="s">
        <v>19</v>
      </c>
      <c r="J1158" s="684">
        <v>77273.48</v>
      </c>
      <c r="K1158" s="684">
        <v>56.4557</v>
      </c>
      <c r="L1158" s="655">
        <f t="shared" si="107"/>
        <v>1368.7454056897709</v>
      </c>
      <c r="M1158" s="628">
        <v>60</v>
      </c>
      <c r="N1158" s="667">
        <f t="shared" si="108"/>
        <v>1287.8913333333333</v>
      </c>
      <c r="O1158" s="668">
        <f t="shared" ca="1" si="106"/>
        <v>12</v>
      </c>
      <c r="P1158" s="655">
        <v>11463.7</v>
      </c>
      <c r="Q1158" s="667">
        <f t="shared" si="105"/>
        <v>11463.7</v>
      </c>
      <c r="R1158" s="669" t="s">
        <v>4351</v>
      </c>
    </row>
    <row r="1159" spans="2:18" ht="50.1" customHeight="1" x14ac:dyDescent="0.25">
      <c r="B1159" s="688">
        <v>44950</v>
      </c>
      <c r="C1159" s="688">
        <v>45043</v>
      </c>
      <c r="D1159" s="615" t="s">
        <v>4110</v>
      </c>
      <c r="E1159" s="642" t="s">
        <v>4111</v>
      </c>
      <c r="F1159" s="617" t="s">
        <v>4112</v>
      </c>
      <c r="G1159" s="689" t="s">
        <v>18</v>
      </c>
      <c r="H1159" s="617" t="s">
        <v>1445</v>
      </c>
      <c r="I1159" s="615" t="s">
        <v>4106</v>
      </c>
      <c r="J1159" s="684">
        <v>14999.99</v>
      </c>
      <c r="K1159" s="684">
        <v>56.457999999999998</v>
      </c>
      <c r="L1159" s="691">
        <f t="shared" si="107"/>
        <v>265.68404831910448</v>
      </c>
      <c r="M1159" s="692">
        <v>60</v>
      </c>
      <c r="N1159" s="667">
        <f t="shared" si="108"/>
        <v>249.99983333333333</v>
      </c>
      <c r="O1159" s="647">
        <f t="shared" ca="1" si="106"/>
        <v>12</v>
      </c>
      <c r="P1159" s="691">
        <v>11463.7</v>
      </c>
      <c r="Q1159" s="667">
        <f t="shared" si="105"/>
        <v>11463.7</v>
      </c>
      <c r="R1159" s="615" t="s">
        <v>4238</v>
      </c>
    </row>
    <row r="1160" spans="2:18" ht="50.1" customHeight="1" x14ac:dyDescent="0.25">
      <c r="B1160" s="688">
        <v>44950</v>
      </c>
      <c r="C1160" s="688">
        <v>45043</v>
      </c>
      <c r="D1160" s="615" t="s">
        <v>4110</v>
      </c>
      <c r="E1160" s="642" t="s">
        <v>4155</v>
      </c>
      <c r="F1160" s="617" t="s">
        <v>4112</v>
      </c>
      <c r="G1160" s="689" t="s">
        <v>18</v>
      </c>
      <c r="H1160" s="617" t="s">
        <v>1445</v>
      </c>
      <c r="I1160" s="615" t="s">
        <v>4106</v>
      </c>
      <c r="J1160" s="684">
        <v>14999.99</v>
      </c>
      <c r="K1160" s="684">
        <v>56.457999999999998</v>
      </c>
      <c r="L1160" s="691">
        <f t="shared" si="107"/>
        <v>265.68404831910448</v>
      </c>
      <c r="M1160" s="692">
        <v>60</v>
      </c>
      <c r="N1160" s="667">
        <f t="shared" si="108"/>
        <v>249.99983333333333</v>
      </c>
      <c r="O1160" s="647">
        <f t="shared" ca="1" si="106"/>
        <v>12</v>
      </c>
      <c r="P1160" s="691">
        <v>11463.7</v>
      </c>
      <c r="Q1160" s="667">
        <f t="shared" ref="Q1160:Q1223" si="109">IF(P1160&lt;1,1,P1160)</f>
        <v>11463.7</v>
      </c>
      <c r="R1160" s="615" t="s">
        <v>4238</v>
      </c>
    </row>
    <row r="1161" spans="2:18" ht="50.1" customHeight="1" x14ac:dyDescent="0.25">
      <c r="B1161" s="688">
        <v>44950</v>
      </c>
      <c r="C1161" s="688">
        <v>45043</v>
      </c>
      <c r="D1161" s="615" t="s">
        <v>4110</v>
      </c>
      <c r="E1161" s="642" t="s">
        <v>4156</v>
      </c>
      <c r="F1161" s="617" t="s">
        <v>4112</v>
      </c>
      <c r="G1161" s="689" t="s">
        <v>18</v>
      </c>
      <c r="H1161" s="617" t="s">
        <v>1445</v>
      </c>
      <c r="I1161" s="615" t="s">
        <v>4106</v>
      </c>
      <c r="J1161" s="684">
        <v>14999.99</v>
      </c>
      <c r="K1161" s="684">
        <v>56.457999999999998</v>
      </c>
      <c r="L1161" s="691">
        <f t="shared" si="107"/>
        <v>265.68404831910448</v>
      </c>
      <c r="M1161" s="692">
        <v>60</v>
      </c>
      <c r="N1161" s="667">
        <f t="shared" si="108"/>
        <v>249.99983333333333</v>
      </c>
      <c r="O1161" s="647">
        <f t="shared" ca="1" si="106"/>
        <v>12</v>
      </c>
      <c r="P1161" s="691">
        <v>11463.7</v>
      </c>
      <c r="Q1161" s="667">
        <f t="shared" si="109"/>
        <v>11463.7</v>
      </c>
      <c r="R1161" s="615" t="s">
        <v>4238</v>
      </c>
    </row>
    <row r="1162" spans="2:18" ht="50.1" customHeight="1" x14ac:dyDescent="0.25">
      <c r="B1162" s="688">
        <v>44950</v>
      </c>
      <c r="C1162" s="688">
        <v>45043</v>
      </c>
      <c r="D1162" s="615" t="s">
        <v>4110</v>
      </c>
      <c r="E1162" s="642" t="s">
        <v>4157</v>
      </c>
      <c r="F1162" s="617" t="s">
        <v>4112</v>
      </c>
      <c r="G1162" s="689" t="s">
        <v>18</v>
      </c>
      <c r="H1162" s="617" t="s">
        <v>1445</v>
      </c>
      <c r="I1162" s="615" t="s">
        <v>4106</v>
      </c>
      <c r="J1162" s="684">
        <v>14999.99</v>
      </c>
      <c r="K1162" s="684">
        <v>56.457999999999998</v>
      </c>
      <c r="L1162" s="691">
        <f t="shared" si="107"/>
        <v>265.68404831910448</v>
      </c>
      <c r="M1162" s="692">
        <v>60</v>
      </c>
      <c r="N1162" s="667">
        <f t="shared" si="108"/>
        <v>249.99983333333333</v>
      </c>
      <c r="O1162" s="647">
        <f t="shared" ca="1" si="106"/>
        <v>12</v>
      </c>
      <c r="P1162" s="691">
        <v>11463.7</v>
      </c>
      <c r="Q1162" s="667">
        <f t="shared" si="109"/>
        <v>11463.7</v>
      </c>
      <c r="R1162" s="615" t="s">
        <v>4238</v>
      </c>
    </row>
    <row r="1163" spans="2:18" ht="50.1" customHeight="1" x14ac:dyDescent="0.25">
      <c r="B1163" s="688">
        <v>44950</v>
      </c>
      <c r="C1163" s="688">
        <v>45043</v>
      </c>
      <c r="D1163" s="615" t="s">
        <v>4110</v>
      </c>
      <c r="E1163" s="642" t="s">
        <v>4158</v>
      </c>
      <c r="F1163" s="617" t="s">
        <v>4112</v>
      </c>
      <c r="G1163" s="689" t="s">
        <v>18</v>
      </c>
      <c r="H1163" s="617" t="s">
        <v>1445</v>
      </c>
      <c r="I1163" s="615" t="s">
        <v>4107</v>
      </c>
      <c r="J1163" s="684">
        <v>14999.99</v>
      </c>
      <c r="K1163" s="684">
        <v>56.457999999999998</v>
      </c>
      <c r="L1163" s="691">
        <f t="shared" si="107"/>
        <v>265.68404831910448</v>
      </c>
      <c r="M1163" s="692">
        <v>60</v>
      </c>
      <c r="N1163" s="667">
        <f t="shared" si="108"/>
        <v>249.99983333333333</v>
      </c>
      <c r="O1163" s="647">
        <f t="shared" ca="1" si="106"/>
        <v>12</v>
      </c>
      <c r="P1163" s="691">
        <v>11463.7</v>
      </c>
      <c r="Q1163" s="667">
        <f t="shared" si="109"/>
        <v>11463.7</v>
      </c>
      <c r="R1163" s="615" t="s">
        <v>4238</v>
      </c>
    </row>
    <row r="1164" spans="2:18" ht="50.1" customHeight="1" x14ac:dyDescent="0.25">
      <c r="B1164" s="688">
        <v>44950</v>
      </c>
      <c r="C1164" s="688">
        <v>45043</v>
      </c>
      <c r="D1164" s="615" t="s">
        <v>4110</v>
      </c>
      <c r="E1164" s="642" t="s">
        <v>4159</v>
      </c>
      <c r="F1164" s="617" t="s">
        <v>4112</v>
      </c>
      <c r="G1164" s="689" t="s">
        <v>18</v>
      </c>
      <c r="H1164" s="617" t="s">
        <v>1445</v>
      </c>
      <c r="I1164" s="615" t="s">
        <v>4107</v>
      </c>
      <c r="J1164" s="684">
        <v>14999.99</v>
      </c>
      <c r="K1164" s="684">
        <v>56.457999999999998</v>
      </c>
      <c r="L1164" s="691">
        <f t="shared" si="107"/>
        <v>265.68404831910448</v>
      </c>
      <c r="M1164" s="692">
        <v>60</v>
      </c>
      <c r="N1164" s="667">
        <f t="shared" si="108"/>
        <v>249.99983333333333</v>
      </c>
      <c r="O1164" s="647">
        <f t="shared" ca="1" si="106"/>
        <v>12</v>
      </c>
      <c r="P1164" s="691">
        <v>11463.7</v>
      </c>
      <c r="Q1164" s="667">
        <f t="shared" si="109"/>
        <v>11463.7</v>
      </c>
      <c r="R1164" s="615" t="s">
        <v>4238</v>
      </c>
    </row>
    <row r="1165" spans="2:18" ht="50.1" customHeight="1" x14ac:dyDescent="0.25">
      <c r="B1165" s="688">
        <v>44950</v>
      </c>
      <c r="C1165" s="688">
        <v>45043</v>
      </c>
      <c r="D1165" s="615" t="s">
        <v>4110</v>
      </c>
      <c r="E1165" s="642" t="s">
        <v>4160</v>
      </c>
      <c r="F1165" s="617" t="s">
        <v>4112</v>
      </c>
      <c r="G1165" s="689" t="s">
        <v>18</v>
      </c>
      <c r="H1165" s="617" t="s">
        <v>4105</v>
      </c>
      <c r="I1165" s="615" t="s">
        <v>4103</v>
      </c>
      <c r="J1165" s="684">
        <v>14999.99</v>
      </c>
      <c r="K1165" s="684">
        <v>56.457999999999998</v>
      </c>
      <c r="L1165" s="691">
        <f t="shared" si="107"/>
        <v>265.68404831910448</v>
      </c>
      <c r="M1165" s="692">
        <v>60</v>
      </c>
      <c r="N1165" s="667">
        <f t="shared" si="108"/>
        <v>249.99983333333333</v>
      </c>
      <c r="O1165" s="647">
        <f t="shared" ref="O1165:O1228" ca="1" si="110">IF(B1165&lt;&gt;0,(ROUND((NOW()-B1165)/30,0)),0)</f>
        <v>12</v>
      </c>
      <c r="P1165" s="691">
        <v>11463.7</v>
      </c>
      <c r="Q1165" s="667">
        <f t="shared" si="109"/>
        <v>11463.7</v>
      </c>
      <c r="R1165" s="615" t="s">
        <v>4238</v>
      </c>
    </row>
    <row r="1166" spans="2:18" ht="50.1" customHeight="1" x14ac:dyDescent="0.25">
      <c r="B1166" s="688">
        <v>44950</v>
      </c>
      <c r="C1166" s="688">
        <v>45043</v>
      </c>
      <c r="D1166" s="615" t="s">
        <v>4110</v>
      </c>
      <c r="E1166" s="642" t="s">
        <v>4161</v>
      </c>
      <c r="F1166" s="617" t="s">
        <v>4112</v>
      </c>
      <c r="G1166" s="689" t="s">
        <v>18</v>
      </c>
      <c r="H1166" s="617" t="s">
        <v>4105</v>
      </c>
      <c r="I1166" s="615" t="s">
        <v>4103</v>
      </c>
      <c r="J1166" s="684">
        <v>14999.99</v>
      </c>
      <c r="K1166" s="684">
        <v>56.457999999999998</v>
      </c>
      <c r="L1166" s="691">
        <f t="shared" si="107"/>
        <v>265.68404831910448</v>
      </c>
      <c r="M1166" s="692">
        <v>60</v>
      </c>
      <c r="N1166" s="667">
        <f t="shared" si="108"/>
        <v>249.99983333333333</v>
      </c>
      <c r="O1166" s="647">
        <f t="shared" ca="1" si="110"/>
        <v>12</v>
      </c>
      <c r="P1166" s="691">
        <v>11463.7</v>
      </c>
      <c r="Q1166" s="667">
        <f t="shared" si="109"/>
        <v>11463.7</v>
      </c>
      <c r="R1166" s="615" t="s">
        <v>4238</v>
      </c>
    </row>
    <row r="1167" spans="2:18" ht="50.1" customHeight="1" x14ac:dyDescent="0.25">
      <c r="B1167" s="688">
        <v>44950</v>
      </c>
      <c r="C1167" s="688">
        <v>45054</v>
      </c>
      <c r="D1167" s="615" t="s">
        <v>4110</v>
      </c>
      <c r="E1167" s="642" t="s">
        <v>4162</v>
      </c>
      <c r="F1167" s="615" t="s">
        <v>4113</v>
      </c>
      <c r="G1167" s="689" t="s">
        <v>18</v>
      </c>
      <c r="H1167" s="617" t="s">
        <v>1445</v>
      </c>
      <c r="I1167" s="615" t="s">
        <v>4106</v>
      </c>
      <c r="J1167" s="618">
        <v>13500</v>
      </c>
      <c r="K1167" s="684">
        <v>56.457999999999998</v>
      </c>
      <c r="L1167" s="691">
        <f t="shared" si="107"/>
        <v>239.11580289772928</v>
      </c>
      <c r="M1167" s="692">
        <v>60</v>
      </c>
      <c r="N1167" s="667">
        <f t="shared" si="108"/>
        <v>225</v>
      </c>
      <c r="O1167" s="647">
        <f t="shared" ca="1" si="110"/>
        <v>12</v>
      </c>
      <c r="P1167" s="691">
        <v>11463.7</v>
      </c>
      <c r="Q1167" s="667">
        <f t="shared" si="109"/>
        <v>11463.7</v>
      </c>
      <c r="R1167" s="615" t="s">
        <v>4238</v>
      </c>
    </row>
    <row r="1168" spans="2:18" ht="50.1" customHeight="1" x14ac:dyDescent="0.25">
      <c r="B1168" s="688">
        <v>44950</v>
      </c>
      <c r="C1168" s="688">
        <v>45054</v>
      </c>
      <c r="D1168" s="615" t="s">
        <v>4110</v>
      </c>
      <c r="E1168" s="642" t="s">
        <v>4163</v>
      </c>
      <c r="F1168" s="615" t="s">
        <v>4113</v>
      </c>
      <c r="G1168" s="689" t="s">
        <v>18</v>
      </c>
      <c r="H1168" s="617" t="s">
        <v>1445</v>
      </c>
      <c r="I1168" s="615" t="s">
        <v>4106</v>
      </c>
      <c r="J1168" s="618">
        <v>13500</v>
      </c>
      <c r="K1168" s="684">
        <v>56.457999999999998</v>
      </c>
      <c r="L1168" s="691">
        <f t="shared" ref="L1168:L1231" si="111">+J1168/K1168</f>
        <v>239.11580289772928</v>
      </c>
      <c r="M1168" s="692">
        <v>60</v>
      </c>
      <c r="N1168" s="667">
        <f t="shared" si="108"/>
        <v>225</v>
      </c>
      <c r="O1168" s="647">
        <f t="shared" ca="1" si="110"/>
        <v>12</v>
      </c>
      <c r="P1168" s="691">
        <v>11463.7</v>
      </c>
      <c r="Q1168" s="667">
        <f t="shared" si="109"/>
        <v>11463.7</v>
      </c>
      <c r="R1168" s="615" t="s">
        <v>4238</v>
      </c>
    </row>
    <row r="1169" spans="2:18" ht="50.1" customHeight="1" x14ac:dyDescent="0.25">
      <c r="B1169" s="688">
        <v>44950</v>
      </c>
      <c r="C1169" s="688">
        <v>45054</v>
      </c>
      <c r="D1169" s="615" t="s">
        <v>4110</v>
      </c>
      <c r="E1169" s="642" t="s">
        <v>4164</v>
      </c>
      <c r="F1169" s="615" t="s">
        <v>4113</v>
      </c>
      <c r="G1169" s="689" t="s">
        <v>18</v>
      </c>
      <c r="H1169" s="617" t="s">
        <v>1445</v>
      </c>
      <c r="I1169" s="615" t="s">
        <v>4106</v>
      </c>
      <c r="J1169" s="618">
        <v>13500</v>
      </c>
      <c r="K1169" s="684">
        <v>56.457999999999998</v>
      </c>
      <c r="L1169" s="691">
        <f t="shared" si="111"/>
        <v>239.11580289772928</v>
      </c>
      <c r="M1169" s="692">
        <v>60</v>
      </c>
      <c r="N1169" s="667">
        <f t="shared" si="108"/>
        <v>225</v>
      </c>
      <c r="O1169" s="647">
        <f t="shared" ca="1" si="110"/>
        <v>12</v>
      </c>
      <c r="P1169" s="691">
        <v>11463.7</v>
      </c>
      <c r="Q1169" s="667">
        <f t="shared" si="109"/>
        <v>11463.7</v>
      </c>
      <c r="R1169" s="615" t="s">
        <v>4238</v>
      </c>
    </row>
    <row r="1170" spans="2:18" ht="50.1" customHeight="1" x14ac:dyDescent="0.25">
      <c r="B1170" s="688">
        <v>44950</v>
      </c>
      <c r="C1170" s="688">
        <v>45054</v>
      </c>
      <c r="D1170" s="615" t="s">
        <v>4110</v>
      </c>
      <c r="E1170" s="642" t="s">
        <v>4165</v>
      </c>
      <c r="F1170" s="615" t="s">
        <v>4113</v>
      </c>
      <c r="G1170" s="689" t="s">
        <v>18</v>
      </c>
      <c r="H1170" s="617" t="s">
        <v>1445</v>
      </c>
      <c r="I1170" s="615" t="s">
        <v>4106</v>
      </c>
      <c r="J1170" s="618">
        <v>13500</v>
      </c>
      <c r="K1170" s="684">
        <v>56.457999999999998</v>
      </c>
      <c r="L1170" s="691">
        <f t="shared" si="111"/>
        <v>239.11580289772928</v>
      </c>
      <c r="M1170" s="692">
        <v>60</v>
      </c>
      <c r="N1170" s="667">
        <f t="shared" ref="N1170:N1233" si="112">IF(AND(J1170&lt;&gt;0,M1170&lt;&gt;0),J1170/M1170,0)</f>
        <v>225</v>
      </c>
      <c r="O1170" s="647">
        <f t="shared" ca="1" si="110"/>
        <v>12</v>
      </c>
      <c r="P1170" s="691">
        <v>11463.7</v>
      </c>
      <c r="Q1170" s="667">
        <f t="shared" si="109"/>
        <v>11463.7</v>
      </c>
      <c r="R1170" s="615" t="s">
        <v>4238</v>
      </c>
    </row>
    <row r="1171" spans="2:18" ht="50.1" customHeight="1" x14ac:dyDescent="0.25">
      <c r="B1171" s="688">
        <v>44950</v>
      </c>
      <c r="C1171" s="688">
        <v>45054</v>
      </c>
      <c r="D1171" s="615" t="s">
        <v>4110</v>
      </c>
      <c r="E1171" s="642" t="s">
        <v>4166</v>
      </c>
      <c r="F1171" s="615" t="s">
        <v>4113</v>
      </c>
      <c r="G1171" s="689" t="s">
        <v>18</v>
      </c>
      <c r="H1171" s="617" t="s">
        <v>1445</v>
      </c>
      <c r="I1171" s="615" t="s">
        <v>4419</v>
      </c>
      <c r="J1171" s="618">
        <v>13500</v>
      </c>
      <c r="K1171" s="684">
        <v>56.457999999999998</v>
      </c>
      <c r="L1171" s="691">
        <f t="shared" si="111"/>
        <v>239.11580289772928</v>
      </c>
      <c r="M1171" s="692">
        <v>60</v>
      </c>
      <c r="N1171" s="667">
        <f t="shared" si="112"/>
        <v>225</v>
      </c>
      <c r="O1171" s="647">
        <f t="shared" ca="1" si="110"/>
        <v>12</v>
      </c>
      <c r="P1171" s="691">
        <v>11463.7</v>
      </c>
      <c r="Q1171" s="667">
        <f t="shared" si="109"/>
        <v>11463.7</v>
      </c>
      <c r="R1171" s="615" t="s">
        <v>4238</v>
      </c>
    </row>
    <row r="1172" spans="2:18" ht="50.1" customHeight="1" x14ac:dyDescent="0.25">
      <c r="B1172" s="688">
        <v>44950</v>
      </c>
      <c r="C1172" s="688">
        <v>45054</v>
      </c>
      <c r="D1172" s="615" t="s">
        <v>4110</v>
      </c>
      <c r="E1172" s="642" t="s">
        <v>4167</v>
      </c>
      <c r="F1172" s="615" t="s">
        <v>4113</v>
      </c>
      <c r="G1172" s="689" t="s">
        <v>18</v>
      </c>
      <c r="H1172" s="617" t="s">
        <v>1445</v>
      </c>
      <c r="I1172" s="615" t="s">
        <v>4419</v>
      </c>
      <c r="J1172" s="618">
        <v>13500</v>
      </c>
      <c r="K1172" s="684">
        <v>56.457999999999998</v>
      </c>
      <c r="L1172" s="691">
        <f t="shared" si="111"/>
        <v>239.11580289772928</v>
      </c>
      <c r="M1172" s="692">
        <v>60</v>
      </c>
      <c r="N1172" s="667">
        <f t="shared" si="112"/>
        <v>225</v>
      </c>
      <c r="O1172" s="647">
        <f t="shared" ca="1" si="110"/>
        <v>12</v>
      </c>
      <c r="P1172" s="691">
        <v>11463.7</v>
      </c>
      <c r="Q1172" s="667">
        <f t="shared" si="109"/>
        <v>11463.7</v>
      </c>
      <c r="R1172" s="615" t="s">
        <v>4238</v>
      </c>
    </row>
    <row r="1173" spans="2:18" ht="50.1" customHeight="1" x14ac:dyDescent="0.25">
      <c r="B1173" s="688">
        <v>44950</v>
      </c>
      <c r="C1173" s="688">
        <v>45054</v>
      </c>
      <c r="D1173" s="615" t="s">
        <v>4110</v>
      </c>
      <c r="E1173" s="642" t="s">
        <v>4168</v>
      </c>
      <c r="F1173" s="615" t="s">
        <v>4113</v>
      </c>
      <c r="G1173" s="689" t="s">
        <v>18</v>
      </c>
      <c r="H1173" s="617" t="s">
        <v>1445</v>
      </c>
      <c r="I1173" s="615" t="s">
        <v>4419</v>
      </c>
      <c r="J1173" s="618">
        <v>13500</v>
      </c>
      <c r="K1173" s="684">
        <v>56.457999999999998</v>
      </c>
      <c r="L1173" s="691">
        <f t="shared" si="111"/>
        <v>239.11580289772928</v>
      </c>
      <c r="M1173" s="692">
        <v>60</v>
      </c>
      <c r="N1173" s="667">
        <f t="shared" si="112"/>
        <v>225</v>
      </c>
      <c r="O1173" s="647">
        <f t="shared" ca="1" si="110"/>
        <v>12</v>
      </c>
      <c r="P1173" s="691">
        <v>11463.7</v>
      </c>
      <c r="Q1173" s="667">
        <f t="shared" si="109"/>
        <v>11463.7</v>
      </c>
      <c r="R1173" s="615" t="s">
        <v>4238</v>
      </c>
    </row>
    <row r="1174" spans="2:18" ht="50.1" customHeight="1" x14ac:dyDescent="0.25">
      <c r="B1174" s="688">
        <v>44950</v>
      </c>
      <c r="C1174" s="688">
        <v>45054</v>
      </c>
      <c r="D1174" s="615" t="s">
        <v>4110</v>
      </c>
      <c r="E1174" s="642" t="s">
        <v>4169</v>
      </c>
      <c r="F1174" s="615" t="s">
        <v>4113</v>
      </c>
      <c r="G1174" s="689" t="s">
        <v>18</v>
      </c>
      <c r="H1174" s="617" t="s">
        <v>1445</v>
      </c>
      <c r="I1174" s="615" t="s">
        <v>4107</v>
      </c>
      <c r="J1174" s="618">
        <v>13500</v>
      </c>
      <c r="K1174" s="684">
        <v>56.457999999999998</v>
      </c>
      <c r="L1174" s="691">
        <f t="shared" si="111"/>
        <v>239.11580289772928</v>
      </c>
      <c r="M1174" s="692">
        <v>60</v>
      </c>
      <c r="N1174" s="667">
        <f t="shared" si="112"/>
        <v>225</v>
      </c>
      <c r="O1174" s="647">
        <f t="shared" ca="1" si="110"/>
        <v>12</v>
      </c>
      <c r="P1174" s="691">
        <v>11463.7</v>
      </c>
      <c r="Q1174" s="667">
        <f t="shared" si="109"/>
        <v>11463.7</v>
      </c>
      <c r="R1174" s="615" t="s">
        <v>4238</v>
      </c>
    </row>
    <row r="1175" spans="2:18" ht="50.1" customHeight="1" x14ac:dyDescent="0.25">
      <c r="B1175" s="688">
        <v>44950</v>
      </c>
      <c r="C1175" s="688">
        <v>45054</v>
      </c>
      <c r="D1175" s="615" t="s">
        <v>4110</v>
      </c>
      <c r="E1175" s="642" t="s">
        <v>4170</v>
      </c>
      <c r="F1175" s="615" t="s">
        <v>4113</v>
      </c>
      <c r="G1175" s="689" t="s">
        <v>18</v>
      </c>
      <c r="H1175" s="617" t="s">
        <v>1445</v>
      </c>
      <c r="I1175" s="615" t="s">
        <v>4107</v>
      </c>
      <c r="J1175" s="618">
        <v>13500</v>
      </c>
      <c r="K1175" s="684">
        <v>56.457999999999998</v>
      </c>
      <c r="L1175" s="691">
        <f t="shared" si="111"/>
        <v>239.11580289772928</v>
      </c>
      <c r="M1175" s="692">
        <v>60</v>
      </c>
      <c r="N1175" s="667">
        <f t="shared" si="112"/>
        <v>225</v>
      </c>
      <c r="O1175" s="647">
        <f t="shared" ca="1" si="110"/>
        <v>12</v>
      </c>
      <c r="P1175" s="691">
        <v>11463.7</v>
      </c>
      <c r="Q1175" s="667">
        <f t="shared" si="109"/>
        <v>11463.7</v>
      </c>
      <c r="R1175" s="615" t="s">
        <v>4238</v>
      </c>
    </row>
    <row r="1176" spans="2:18" ht="50.1" customHeight="1" x14ac:dyDescent="0.25">
      <c r="B1176" s="688">
        <v>44950</v>
      </c>
      <c r="C1176" s="688">
        <v>45054</v>
      </c>
      <c r="D1176" s="615" t="s">
        <v>4110</v>
      </c>
      <c r="E1176" s="642" t="s">
        <v>4171</v>
      </c>
      <c r="F1176" s="615" t="s">
        <v>4113</v>
      </c>
      <c r="G1176" s="689" t="s">
        <v>18</v>
      </c>
      <c r="H1176" s="617" t="s">
        <v>1445</v>
      </c>
      <c r="I1176" s="615" t="s">
        <v>4107</v>
      </c>
      <c r="J1176" s="618">
        <v>13500</v>
      </c>
      <c r="K1176" s="684">
        <v>56.457999999999998</v>
      </c>
      <c r="L1176" s="691">
        <f t="shared" si="111"/>
        <v>239.11580289772928</v>
      </c>
      <c r="M1176" s="692">
        <v>60</v>
      </c>
      <c r="N1176" s="667">
        <f t="shared" si="112"/>
        <v>225</v>
      </c>
      <c r="O1176" s="647">
        <f t="shared" ca="1" si="110"/>
        <v>12</v>
      </c>
      <c r="P1176" s="691">
        <v>11463.7</v>
      </c>
      <c r="Q1176" s="667">
        <f t="shared" si="109"/>
        <v>11463.7</v>
      </c>
      <c r="R1176" s="615" t="s">
        <v>4238</v>
      </c>
    </row>
    <row r="1177" spans="2:18" ht="50.1" customHeight="1" x14ac:dyDescent="0.25">
      <c r="B1177" s="688">
        <v>44950</v>
      </c>
      <c r="C1177" s="688">
        <v>45054</v>
      </c>
      <c r="D1177" s="615" t="s">
        <v>4110</v>
      </c>
      <c r="E1177" s="642" t="s">
        <v>4172</v>
      </c>
      <c r="F1177" s="615" t="s">
        <v>4113</v>
      </c>
      <c r="G1177" s="689" t="s">
        <v>18</v>
      </c>
      <c r="H1177" s="617" t="s">
        <v>1445</v>
      </c>
      <c r="I1177" s="615" t="s">
        <v>4107</v>
      </c>
      <c r="J1177" s="618">
        <v>13500</v>
      </c>
      <c r="K1177" s="684">
        <v>56.457999999999998</v>
      </c>
      <c r="L1177" s="691">
        <f t="shared" si="111"/>
        <v>239.11580289772928</v>
      </c>
      <c r="M1177" s="692">
        <v>60</v>
      </c>
      <c r="N1177" s="667">
        <f t="shared" si="112"/>
        <v>225</v>
      </c>
      <c r="O1177" s="647">
        <f t="shared" ca="1" si="110"/>
        <v>12</v>
      </c>
      <c r="P1177" s="691">
        <v>11463.7</v>
      </c>
      <c r="Q1177" s="667">
        <f t="shared" si="109"/>
        <v>11463.7</v>
      </c>
      <c r="R1177" s="615" t="s">
        <v>4238</v>
      </c>
    </row>
    <row r="1178" spans="2:18" ht="50.1" customHeight="1" x14ac:dyDescent="0.25">
      <c r="B1178" s="688">
        <v>44950</v>
      </c>
      <c r="C1178" s="688">
        <v>45054</v>
      </c>
      <c r="D1178" s="615" t="s">
        <v>4110</v>
      </c>
      <c r="E1178" s="642" t="s">
        <v>4173</v>
      </c>
      <c r="F1178" s="615" t="s">
        <v>4113</v>
      </c>
      <c r="G1178" s="689" t="s">
        <v>18</v>
      </c>
      <c r="H1178" s="617" t="s">
        <v>1445</v>
      </c>
      <c r="I1178" s="615" t="s">
        <v>4107</v>
      </c>
      <c r="J1178" s="618">
        <v>13500</v>
      </c>
      <c r="K1178" s="684">
        <v>56.457999999999998</v>
      </c>
      <c r="L1178" s="691">
        <f t="shared" si="111"/>
        <v>239.11580289772928</v>
      </c>
      <c r="M1178" s="692">
        <v>60</v>
      </c>
      <c r="N1178" s="667">
        <f t="shared" si="112"/>
        <v>225</v>
      </c>
      <c r="O1178" s="647">
        <f t="shared" ca="1" si="110"/>
        <v>12</v>
      </c>
      <c r="P1178" s="691">
        <v>11463.7</v>
      </c>
      <c r="Q1178" s="667">
        <f t="shared" si="109"/>
        <v>11463.7</v>
      </c>
      <c r="R1178" s="615" t="s">
        <v>4238</v>
      </c>
    </row>
    <row r="1179" spans="2:18" ht="50.1" customHeight="1" x14ac:dyDescent="0.25">
      <c r="B1179" s="688">
        <v>44950</v>
      </c>
      <c r="C1179" s="688">
        <v>45054</v>
      </c>
      <c r="D1179" s="615" t="s">
        <v>4110</v>
      </c>
      <c r="E1179" s="642" t="s">
        <v>4174</v>
      </c>
      <c r="F1179" s="615" t="s">
        <v>4113</v>
      </c>
      <c r="G1179" s="689" t="s">
        <v>18</v>
      </c>
      <c r="H1179" s="617" t="s">
        <v>4105</v>
      </c>
      <c r="I1179" s="615" t="s">
        <v>4103</v>
      </c>
      <c r="J1179" s="618">
        <v>13500</v>
      </c>
      <c r="K1179" s="684">
        <v>56.457999999999998</v>
      </c>
      <c r="L1179" s="691">
        <f t="shared" si="111"/>
        <v>239.11580289772928</v>
      </c>
      <c r="M1179" s="692">
        <v>60</v>
      </c>
      <c r="N1179" s="667">
        <f t="shared" si="112"/>
        <v>225</v>
      </c>
      <c r="O1179" s="647">
        <f t="shared" ca="1" si="110"/>
        <v>12</v>
      </c>
      <c r="P1179" s="691">
        <v>11463.7</v>
      </c>
      <c r="Q1179" s="667">
        <f t="shared" si="109"/>
        <v>11463.7</v>
      </c>
      <c r="R1179" s="615" t="s">
        <v>4238</v>
      </c>
    </row>
    <row r="1180" spans="2:18" ht="50.1" customHeight="1" x14ac:dyDescent="0.25">
      <c r="B1180" s="688">
        <v>44950</v>
      </c>
      <c r="C1180" s="688">
        <v>45054</v>
      </c>
      <c r="D1180" s="615" t="s">
        <v>4110</v>
      </c>
      <c r="E1180" s="642" t="s">
        <v>4175</v>
      </c>
      <c r="F1180" s="615" t="s">
        <v>4113</v>
      </c>
      <c r="G1180" s="689" t="s">
        <v>18</v>
      </c>
      <c r="H1180" s="617" t="s">
        <v>4105</v>
      </c>
      <c r="I1180" s="615" t="s">
        <v>4104</v>
      </c>
      <c r="J1180" s="618">
        <v>13500</v>
      </c>
      <c r="K1180" s="684">
        <v>56.457999999999998</v>
      </c>
      <c r="L1180" s="691">
        <f t="shared" si="111"/>
        <v>239.11580289772928</v>
      </c>
      <c r="M1180" s="692">
        <v>60</v>
      </c>
      <c r="N1180" s="667">
        <f t="shared" si="112"/>
        <v>225</v>
      </c>
      <c r="O1180" s="647">
        <f t="shared" ca="1" si="110"/>
        <v>12</v>
      </c>
      <c r="P1180" s="691">
        <v>11463.7</v>
      </c>
      <c r="Q1180" s="667">
        <f t="shared" si="109"/>
        <v>11463.7</v>
      </c>
      <c r="R1180" s="615" t="s">
        <v>4238</v>
      </c>
    </row>
    <row r="1181" spans="2:18" ht="50.1" customHeight="1" x14ac:dyDescent="0.25">
      <c r="B1181" s="688">
        <v>44950</v>
      </c>
      <c r="C1181" s="688">
        <v>45054</v>
      </c>
      <c r="D1181" s="615" t="s">
        <v>4110</v>
      </c>
      <c r="E1181" s="642" t="s">
        <v>4176</v>
      </c>
      <c r="F1181" s="615" t="s">
        <v>4113</v>
      </c>
      <c r="G1181" s="689" t="s">
        <v>18</v>
      </c>
      <c r="H1181" s="617" t="s">
        <v>4105</v>
      </c>
      <c r="I1181" s="615" t="s">
        <v>4104</v>
      </c>
      <c r="J1181" s="618">
        <v>13500</v>
      </c>
      <c r="K1181" s="684">
        <v>56.457999999999998</v>
      </c>
      <c r="L1181" s="691">
        <f t="shared" si="111"/>
        <v>239.11580289772928</v>
      </c>
      <c r="M1181" s="692">
        <v>60</v>
      </c>
      <c r="N1181" s="667">
        <f t="shared" si="112"/>
        <v>225</v>
      </c>
      <c r="O1181" s="647">
        <f t="shared" ca="1" si="110"/>
        <v>12</v>
      </c>
      <c r="P1181" s="691">
        <v>11463.7</v>
      </c>
      <c r="Q1181" s="667">
        <f t="shared" si="109"/>
        <v>11463.7</v>
      </c>
      <c r="R1181" s="615" t="s">
        <v>4238</v>
      </c>
    </row>
    <row r="1182" spans="2:18" ht="50.1" customHeight="1" x14ac:dyDescent="0.25">
      <c r="B1182" s="688">
        <v>44950</v>
      </c>
      <c r="C1182" s="688">
        <v>45054</v>
      </c>
      <c r="D1182" s="615" t="s">
        <v>4110</v>
      </c>
      <c r="E1182" s="642" t="s">
        <v>4177</v>
      </c>
      <c r="F1182" s="615" t="s">
        <v>4115</v>
      </c>
      <c r="G1182" s="689" t="s">
        <v>18</v>
      </c>
      <c r="H1182" s="617" t="s">
        <v>1445</v>
      </c>
      <c r="I1182" s="615" t="s">
        <v>4106</v>
      </c>
      <c r="J1182" s="618">
        <v>65000</v>
      </c>
      <c r="K1182" s="684">
        <v>56.457999999999998</v>
      </c>
      <c r="L1182" s="691">
        <f t="shared" si="111"/>
        <v>1151.2983102483263</v>
      </c>
      <c r="M1182" s="692">
        <v>60</v>
      </c>
      <c r="N1182" s="667">
        <f t="shared" si="112"/>
        <v>1083.3333333333333</v>
      </c>
      <c r="O1182" s="647">
        <f t="shared" ca="1" si="110"/>
        <v>12</v>
      </c>
      <c r="P1182" s="691">
        <v>11463.7</v>
      </c>
      <c r="Q1182" s="667">
        <f t="shared" si="109"/>
        <v>11463.7</v>
      </c>
      <c r="R1182" s="615" t="s">
        <v>4238</v>
      </c>
    </row>
    <row r="1183" spans="2:18" ht="50.1" customHeight="1" x14ac:dyDescent="0.25">
      <c r="B1183" s="688">
        <v>44950</v>
      </c>
      <c r="C1183" s="688">
        <v>45054</v>
      </c>
      <c r="D1183" s="615" t="s">
        <v>4110</v>
      </c>
      <c r="E1183" s="642" t="s">
        <v>4178</v>
      </c>
      <c r="F1183" s="615" t="s">
        <v>4115</v>
      </c>
      <c r="G1183" s="689" t="s">
        <v>18</v>
      </c>
      <c r="H1183" s="617" t="s">
        <v>1445</v>
      </c>
      <c r="I1183" s="615" t="s">
        <v>4107</v>
      </c>
      <c r="J1183" s="618">
        <v>65000</v>
      </c>
      <c r="K1183" s="684">
        <v>56.457999999999998</v>
      </c>
      <c r="L1183" s="691">
        <f t="shared" si="111"/>
        <v>1151.2983102483263</v>
      </c>
      <c r="M1183" s="692">
        <v>60</v>
      </c>
      <c r="N1183" s="667">
        <f t="shared" si="112"/>
        <v>1083.3333333333333</v>
      </c>
      <c r="O1183" s="647">
        <f t="shared" ca="1" si="110"/>
        <v>12</v>
      </c>
      <c r="P1183" s="691">
        <v>11463.7</v>
      </c>
      <c r="Q1183" s="667">
        <f t="shared" si="109"/>
        <v>11463.7</v>
      </c>
      <c r="R1183" s="615" t="s">
        <v>4238</v>
      </c>
    </row>
    <row r="1184" spans="2:18" ht="50.1" customHeight="1" x14ac:dyDescent="0.25">
      <c r="B1184" s="688">
        <v>44950</v>
      </c>
      <c r="C1184" s="688">
        <v>45054</v>
      </c>
      <c r="D1184" s="615" t="s">
        <v>4110</v>
      </c>
      <c r="E1184" s="642" t="s">
        <v>4179</v>
      </c>
      <c r="F1184" s="615" t="s">
        <v>4115</v>
      </c>
      <c r="G1184" s="689" t="s">
        <v>18</v>
      </c>
      <c r="H1184" s="617" t="s">
        <v>1445</v>
      </c>
      <c r="I1184" s="615" t="s">
        <v>4107</v>
      </c>
      <c r="J1184" s="618">
        <v>65000</v>
      </c>
      <c r="K1184" s="684">
        <v>56.457999999999998</v>
      </c>
      <c r="L1184" s="691">
        <f t="shared" si="111"/>
        <v>1151.2983102483263</v>
      </c>
      <c r="M1184" s="692">
        <v>60</v>
      </c>
      <c r="N1184" s="667">
        <f t="shared" si="112"/>
        <v>1083.3333333333333</v>
      </c>
      <c r="O1184" s="647">
        <f t="shared" ca="1" si="110"/>
        <v>12</v>
      </c>
      <c r="P1184" s="691">
        <v>11463.7</v>
      </c>
      <c r="Q1184" s="667">
        <f t="shared" si="109"/>
        <v>11463.7</v>
      </c>
      <c r="R1184" s="615" t="s">
        <v>4238</v>
      </c>
    </row>
    <row r="1185" spans="2:18" ht="50.1" customHeight="1" x14ac:dyDescent="0.25">
      <c r="B1185" s="688">
        <v>44950</v>
      </c>
      <c r="C1185" s="688">
        <v>45054</v>
      </c>
      <c r="D1185" s="615" t="s">
        <v>4110</v>
      </c>
      <c r="E1185" s="642" t="s">
        <v>4180</v>
      </c>
      <c r="F1185" s="615" t="s">
        <v>4115</v>
      </c>
      <c r="G1185" s="689" t="s">
        <v>18</v>
      </c>
      <c r="H1185" s="617" t="s">
        <v>1445</v>
      </c>
      <c r="I1185" s="615" t="s">
        <v>4107</v>
      </c>
      <c r="J1185" s="618">
        <v>65000</v>
      </c>
      <c r="K1185" s="684">
        <v>56.457999999999998</v>
      </c>
      <c r="L1185" s="691">
        <f t="shared" si="111"/>
        <v>1151.2983102483263</v>
      </c>
      <c r="M1185" s="692">
        <v>60</v>
      </c>
      <c r="N1185" s="667">
        <f t="shared" si="112"/>
        <v>1083.3333333333333</v>
      </c>
      <c r="O1185" s="647">
        <f t="shared" ca="1" si="110"/>
        <v>12</v>
      </c>
      <c r="P1185" s="691">
        <v>11463.7</v>
      </c>
      <c r="Q1185" s="667">
        <f t="shared" si="109"/>
        <v>11463.7</v>
      </c>
      <c r="R1185" s="615" t="s">
        <v>4238</v>
      </c>
    </row>
    <row r="1186" spans="2:18" ht="50.1" customHeight="1" x14ac:dyDescent="0.25">
      <c r="B1186" s="688">
        <v>44950</v>
      </c>
      <c r="C1186" s="688">
        <v>45054</v>
      </c>
      <c r="D1186" s="615" t="s">
        <v>4110</v>
      </c>
      <c r="E1186" s="642" t="s">
        <v>4181</v>
      </c>
      <c r="F1186" s="615" t="s">
        <v>4115</v>
      </c>
      <c r="G1186" s="689" t="s">
        <v>18</v>
      </c>
      <c r="H1186" s="617" t="s">
        <v>1445</v>
      </c>
      <c r="I1186" s="615" t="s">
        <v>4107</v>
      </c>
      <c r="J1186" s="618">
        <v>65000</v>
      </c>
      <c r="K1186" s="684">
        <v>56.457999999999998</v>
      </c>
      <c r="L1186" s="691">
        <f t="shared" si="111"/>
        <v>1151.2983102483263</v>
      </c>
      <c r="M1186" s="692">
        <v>60</v>
      </c>
      <c r="N1186" s="667">
        <f t="shared" si="112"/>
        <v>1083.3333333333333</v>
      </c>
      <c r="O1186" s="647">
        <f t="shared" ca="1" si="110"/>
        <v>12</v>
      </c>
      <c r="P1186" s="691">
        <v>11463.7</v>
      </c>
      <c r="Q1186" s="667">
        <f t="shared" si="109"/>
        <v>11463.7</v>
      </c>
      <c r="R1186" s="615" t="s">
        <v>4238</v>
      </c>
    </row>
    <row r="1187" spans="2:18" ht="50.1" customHeight="1" x14ac:dyDescent="0.25">
      <c r="B1187" s="688">
        <v>44950</v>
      </c>
      <c r="C1187" s="688">
        <v>45054</v>
      </c>
      <c r="D1187" s="615" t="s">
        <v>4110</v>
      </c>
      <c r="E1187" s="642" t="s">
        <v>4182</v>
      </c>
      <c r="F1187" s="615" t="s">
        <v>4115</v>
      </c>
      <c r="G1187" s="689" t="s">
        <v>18</v>
      </c>
      <c r="H1187" s="617" t="s">
        <v>4105</v>
      </c>
      <c r="I1187" s="615" t="s">
        <v>4103</v>
      </c>
      <c r="J1187" s="618">
        <v>65000</v>
      </c>
      <c r="K1187" s="684">
        <v>56.457999999999998</v>
      </c>
      <c r="L1187" s="691">
        <f t="shared" si="111"/>
        <v>1151.2983102483263</v>
      </c>
      <c r="M1187" s="692">
        <v>60</v>
      </c>
      <c r="N1187" s="667">
        <f t="shared" si="112"/>
        <v>1083.3333333333333</v>
      </c>
      <c r="O1187" s="647">
        <f t="shared" ca="1" si="110"/>
        <v>12</v>
      </c>
      <c r="P1187" s="691">
        <v>11463.7</v>
      </c>
      <c r="Q1187" s="667">
        <f t="shared" si="109"/>
        <v>11463.7</v>
      </c>
      <c r="R1187" s="615" t="s">
        <v>4238</v>
      </c>
    </row>
    <row r="1188" spans="2:18" ht="50.1" customHeight="1" x14ac:dyDescent="0.25">
      <c r="B1188" s="688">
        <v>44950</v>
      </c>
      <c r="C1188" s="688">
        <v>45054</v>
      </c>
      <c r="D1188" s="615" t="s">
        <v>4110</v>
      </c>
      <c r="E1188" s="642" t="s">
        <v>4183</v>
      </c>
      <c r="F1188" s="615" t="s">
        <v>4116</v>
      </c>
      <c r="G1188" s="689" t="s">
        <v>18</v>
      </c>
      <c r="H1188" s="617" t="s">
        <v>1445</v>
      </c>
      <c r="I1188" s="615" t="s">
        <v>4107</v>
      </c>
      <c r="J1188" s="618">
        <v>67500</v>
      </c>
      <c r="K1188" s="684">
        <v>56.457999999999998</v>
      </c>
      <c r="L1188" s="691">
        <f t="shared" si="111"/>
        <v>1195.5790144886464</v>
      </c>
      <c r="M1188" s="692">
        <v>60</v>
      </c>
      <c r="N1188" s="667">
        <f t="shared" si="112"/>
        <v>1125</v>
      </c>
      <c r="O1188" s="647">
        <f t="shared" ca="1" si="110"/>
        <v>12</v>
      </c>
      <c r="P1188" s="691">
        <v>11463.7</v>
      </c>
      <c r="Q1188" s="667">
        <f t="shared" si="109"/>
        <v>11463.7</v>
      </c>
      <c r="R1188" s="615" t="s">
        <v>4238</v>
      </c>
    </row>
    <row r="1189" spans="2:18" ht="50.1" customHeight="1" x14ac:dyDescent="0.25">
      <c r="B1189" s="688">
        <v>44950</v>
      </c>
      <c r="C1189" s="688">
        <v>45054</v>
      </c>
      <c r="D1189" s="615" t="s">
        <v>4110</v>
      </c>
      <c r="E1189" s="642" t="s">
        <v>4184</v>
      </c>
      <c r="F1189" s="615" t="s">
        <v>4116</v>
      </c>
      <c r="G1189" s="689" t="s">
        <v>18</v>
      </c>
      <c r="H1189" s="617" t="s">
        <v>1445</v>
      </c>
      <c r="I1189" s="615" t="s">
        <v>4107</v>
      </c>
      <c r="J1189" s="618">
        <v>67500</v>
      </c>
      <c r="K1189" s="684">
        <v>56.457999999999998</v>
      </c>
      <c r="L1189" s="691">
        <f t="shared" si="111"/>
        <v>1195.5790144886464</v>
      </c>
      <c r="M1189" s="692">
        <v>60</v>
      </c>
      <c r="N1189" s="667">
        <f t="shared" si="112"/>
        <v>1125</v>
      </c>
      <c r="O1189" s="647">
        <f t="shared" ca="1" si="110"/>
        <v>12</v>
      </c>
      <c r="P1189" s="691">
        <v>11463.7</v>
      </c>
      <c r="Q1189" s="667">
        <f t="shared" si="109"/>
        <v>11463.7</v>
      </c>
      <c r="R1189" s="615" t="s">
        <v>4238</v>
      </c>
    </row>
    <row r="1190" spans="2:18" ht="50.1" customHeight="1" x14ac:dyDescent="0.25">
      <c r="B1190" s="688">
        <v>44950</v>
      </c>
      <c r="C1190" s="688">
        <v>45054</v>
      </c>
      <c r="D1190" s="615" t="s">
        <v>4110</v>
      </c>
      <c r="E1190" s="642" t="s">
        <v>4185</v>
      </c>
      <c r="F1190" s="615" t="s">
        <v>4116</v>
      </c>
      <c r="G1190" s="689" t="s">
        <v>18</v>
      </c>
      <c r="H1190" s="617" t="s">
        <v>1445</v>
      </c>
      <c r="I1190" s="615" t="s">
        <v>4107</v>
      </c>
      <c r="J1190" s="618">
        <v>67500</v>
      </c>
      <c r="K1190" s="684">
        <v>56.457999999999998</v>
      </c>
      <c r="L1190" s="691">
        <f t="shared" si="111"/>
        <v>1195.5790144886464</v>
      </c>
      <c r="M1190" s="692">
        <v>60</v>
      </c>
      <c r="N1190" s="667">
        <f t="shared" si="112"/>
        <v>1125</v>
      </c>
      <c r="O1190" s="647">
        <f t="shared" ca="1" si="110"/>
        <v>12</v>
      </c>
      <c r="P1190" s="691">
        <v>11463.7</v>
      </c>
      <c r="Q1190" s="667">
        <f t="shared" si="109"/>
        <v>11463.7</v>
      </c>
      <c r="R1190" s="615" t="s">
        <v>4238</v>
      </c>
    </row>
    <row r="1191" spans="2:18" ht="50.1" customHeight="1" x14ac:dyDescent="0.25">
      <c r="B1191" s="688">
        <v>44950</v>
      </c>
      <c r="C1191" s="688">
        <v>45054</v>
      </c>
      <c r="D1191" s="615" t="s">
        <v>4110</v>
      </c>
      <c r="E1191" s="642" t="s">
        <v>4186</v>
      </c>
      <c r="F1191" s="615" t="s">
        <v>4116</v>
      </c>
      <c r="G1191" s="689" t="s">
        <v>18</v>
      </c>
      <c r="H1191" s="617" t="s">
        <v>4105</v>
      </c>
      <c r="I1191" s="615" t="s">
        <v>4103</v>
      </c>
      <c r="J1191" s="618">
        <v>67500</v>
      </c>
      <c r="K1191" s="684">
        <v>56.457999999999998</v>
      </c>
      <c r="L1191" s="691">
        <f t="shared" si="111"/>
        <v>1195.5790144886464</v>
      </c>
      <c r="M1191" s="692">
        <v>60</v>
      </c>
      <c r="N1191" s="667">
        <f t="shared" si="112"/>
        <v>1125</v>
      </c>
      <c r="O1191" s="647">
        <f t="shared" ca="1" si="110"/>
        <v>12</v>
      </c>
      <c r="P1191" s="691">
        <v>11463.7</v>
      </c>
      <c r="Q1191" s="667">
        <f t="shared" si="109"/>
        <v>11463.7</v>
      </c>
      <c r="R1191" s="615" t="s">
        <v>4238</v>
      </c>
    </row>
    <row r="1192" spans="2:18" ht="50.1" customHeight="1" x14ac:dyDescent="0.25">
      <c r="B1192" s="688">
        <v>44950</v>
      </c>
      <c r="C1192" s="688">
        <v>45054</v>
      </c>
      <c r="D1192" s="615" t="s">
        <v>4110</v>
      </c>
      <c r="E1192" s="642" t="s">
        <v>4187</v>
      </c>
      <c r="F1192" s="615" t="s">
        <v>4117</v>
      </c>
      <c r="G1192" s="689" t="s">
        <v>18</v>
      </c>
      <c r="H1192" s="617" t="s">
        <v>1445</v>
      </c>
      <c r="I1192" s="615" t="s">
        <v>4106</v>
      </c>
      <c r="J1192" s="618">
        <v>22000</v>
      </c>
      <c r="K1192" s="684">
        <v>56.457999999999998</v>
      </c>
      <c r="L1192" s="691">
        <f t="shared" si="111"/>
        <v>389.6701973148181</v>
      </c>
      <c r="M1192" s="692">
        <v>60</v>
      </c>
      <c r="N1192" s="667">
        <f t="shared" si="112"/>
        <v>366.66666666666669</v>
      </c>
      <c r="O1192" s="647">
        <f t="shared" ca="1" si="110"/>
        <v>12</v>
      </c>
      <c r="P1192" s="691">
        <v>11463.7</v>
      </c>
      <c r="Q1192" s="667">
        <f t="shared" si="109"/>
        <v>11463.7</v>
      </c>
      <c r="R1192" s="615" t="s">
        <v>4238</v>
      </c>
    </row>
    <row r="1193" spans="2:18" ht="50.1" customHeight="1" x14ac:dyDescent="0.25">
      <c r="B1193" s="688">
        <v>44950</v>
      </c>
      <c r="C1193" s="688">
        <v>45054</v>
      </c>
      <c r="D1193" s="615" t="s">
        <v>4110</v>
      </c>
      <c r="E1193" s="642" t="s">
        <v>4188</v>
      </c>
      <c r="F1193" s="615" t="s">
        <v>4117</v>
      </c>
      <c r="G1193" s="689" t="s">
        <v>18</v>
      </c>
      <c r="H1193" s="617" t="s">
        <v>1445</v>
      </c>
      <c r="I1193" s="615" t="s">
        <v>4107</v>
      </c>
      <c r="J1193" s="618">
        <v>22000</v>
      </c>
      <c r="K1193" s="684">
        <v>56.457999999999998</v>
      </c>
      <c r="L1193" s="691">
        <f t="shared" si="111"/>
        <v>389.6701973148181</v>
      </c>
      <c r="M1193" s="692">
        <v>60</v>
      </c>
      <c r="N1193" s="667">
        <f t="shared" si="112"/>
        <v>366.66666666666669</v>
      </c>
      <c r="O1193" s="647">
        <f t="shared" ca="1" si="110"/>
        <v>12</v>
      </c>
      <c r="P1193" s="691">
        <v>11463.7</v>
      </c>
      <c r="Q1193" s="667">
        <f t="shared" si="109"/>
        <v>11463.7</v>
      </c>
      <c r="R1193" s="615" t="s">
        <v>4238</v>
      </c>
    </row>
    <row r="1194" spans="2:18" ht="50.1" customHeight="1" x14ac:dyDescent="0.25">
      <c r="B1194" s="688">
        <v>44950</v>
      </c>
      <c r="C1194" s="688">
        <v>45054</v>
      </c>
      <c r="D1194" s="615" t="s">
        <v>4110</v>
      </c>
      <c r="E1194" s="642" t="s">
        <v>4189</v>
      </c>
      <c r="F1194" s="615" t="s">
        <v>4117</v>
      </c>
      <c r="G1194" s="689" t="s">
        <v>18</v>
      </c>
      <c r="H1194" s="617" t="s">
        <v>4105</v>
      </c>
      <c r="I1194" s="617" t="s">
        <v>4103</v>
      </c>
      <c r="J1194" s="618">
        <v>22000</v>
      </c>
      <c r="K1194" s="684">
        <v>56.457999999999998</v>
      </c>
      <c r="L1194" s="691">
        <f t="shared" si="111"/>
        <v>389.6701973148181</v>
      </c>
      <c r="M1194" s="692">
        <v>60</v>
      </c>
      <c r="N1194" s="667">
        <f t="shared" si="112"/>
        <v>366.66666666666669</v>
      </c>
      <c r="O1194" s="647">
        <f t="shared" ca="1" si="110"/>
        <v>12</v>
      </c>
      <c r="P1194" s="691">
        <v>11463.7</v>
      </c>
      <c r="Q1194" s="667">
        <f t="shared" si="109"/>
        <v>11463.7</v>
      </c>
      <c r="R1194" s="615" t="s">
        <v>4238</v>
      </c>
    </row>
    <row r="1195" spans="2:18" ht="50.1" customHeight="1" x14ac:dyDescent="0.25">
      <c r="B1195" s="688">
        <v>44950</v>
      </c>
      <c r="C1195" s="688">
        <v>45054</v>
      </c>
      <c r="D1195" s="615" t="s">
        <v>4110</v>
      </c>
      <c r="E1195" s="642" t="s">
        <v>4190</v>
      </c>
      <c r="F1195" s="615" t="s">
        <v>4118</v>
      </c>
      <c r="G1195" s="689" t="s">
        <v>18</v>
      </c>
      <c r="H1195" s="617" t="s">
        <v>1445</v>
      </c>
      <c r="I1195" s="615" t="s">
        <v>4107</v>
      </c>
      <c r="J1195" s="618">
        <v>74999.990000000005</v>
      </c>
      <c r="K1195" s="684">
        <v>56.457999999999998</v>
      </c>
      <c r="L1195" s="691">
        <f t="shared" si="111"/>
        <v>1328.4209500867903</v>
      </c>
      <c r="M1195" s="692">
        <v>60</v>
      </c>
      <c r="N1195" s="667">
        <f t="shared" si="112"/>
        <v>1249.9998333333335</v>
      </c>
      <c r="O1195" s="647">
        <f t="shared" ca="1" si="110"/>
        <v>12</v>
      </c>
      <c r="P1195" s="691">
        <v>11463.7</v>
      </c>
      <c r="Q1195" s="667">
        <f t="shared" si="109"/>
        <v>11463.7</v>
      </c>
      <c r="R1195" s="615" t="s">
        <v>4238</v>
      </c>
    </row>
    <row r="1196" spans="2:18" ht="50.1" customHeight="1" x14ac:dyDescent="0.25">
      <c r="B1196" s="688">
        <v>44950</v>
      </c>
      <c r="C1196" s="688">
        <v>45054</v>
      </c>
      <c r="D1196" s="615" t="s">
        <v>4110</v>
      </c>
      <c r="E1196" s="642" t="s">
        <v>4191</v>
      </c>
      <c r="F1196" s="615" t="s">
        <v>4118</v>
      </c>
      <c r="G1196" s="689" t="s">
        <v>18</v>
      </c>
      <c r="H1196" s="617" t="s">
        <v>1445</v>
      </c>
      <c r="I1196" s="615" t="s">
        <v>4107</v>
      </c>
      <c r="J1196" s="618">
        <v>74999.990000000005</v>
      </c>
      <c r="K1196" s="684">
        <v>56.457999999999998</v>
      </c>
      <c r="L1196" s="691">
        <f t="shared" si="111"/>
        <v>1328.4209500867903</v>
      </c>
      <c r="M1196" s="692">
        <v>60</v>
      </c>
      <c r="N1196" s="667">
        <f t="shared" si="112"/>
        <v>1249.9998333333335</v>
      </c>
      <c r="O1196" s="647">
        <f t="shared" ca="1" si="110"/>
        <v>12</v>
      </c>
      <c r="P1196" s="691">
        <v>11463.7</v>
      </c>
      <c r="Q1196" s="667">
        <f t="shared" si="109"/>
        <v>11463.7</v>
      </c>
      <c r="R1196" s="615" t="s">
        <v>4238</v>
      </c>
    </row>
    <row r="1197" spans="2:18" ht="50.1" customHeight="1" x14ac:dyDescent="0.25">
      <c r="B1197" s="688">
        <v>44950</v>
      </c>
      <c r="C1197" s="688">
        <v>45054</v>
      </c>
      <c r="D1197" s="615" t="s">
        <v>4110</v>
      </c>
      <c r="E1197" s="642" t="s">
        <v>4192</v>
      </c>
      <c r="F1197" s="615" t="s">
        <v>4118</v>
      </c>
      <c r="G1197" s="689" t="s">
        <v>18</v>
      </c>
      <c r="H1197" s="617" t="s">
        <v>1445</v>
      </c>
      <c r="I1197" s="615" t="s">
        <v>4107</v>
      </c>
      <c r="J1197" s="618">
        <v>74999.990000000005</v>
      </c>
      <c r="K1197" s="684">
        <v>56.457999999999998</v>
      </c>
      <c r="L1197" s="691">
        <f t="shared" si="111"/>
        <v>1328.4209500867903</v>
      </c>
      <c r="M1197" s="692">
        <v>60</v>
      </c>
      <c r="N1197" s="667">
        <f t="shared" si="112"/>
        <v>1249.9998333333335</v>
      </c>
      <c r="O1197" s="647">
        <f t="shared" ca="1" si="110"/>
        <v>12</v>
      </c>
      <c r="P1197" s="691">
        <v>11463.7</v>
      </c>
      <c r="Q1197" s="667">
        <f t="shared" si="109"/>
        <v>11463.7</v>
      </c>
      <c r="R1197" s="615" t="s">
        <v>4238</v>
      </c>
    </row>
    <row r="1198" spans="2:18" ht="50.1" customHeight="1" x14ac:dyDescent="0.25">
      <c r="B1198" s="688">
        <v>44950</v>
      </c>
      <c r="C1198" s="688">
        <v>45054</v>
      </c>
      <c r="D1198" s="615" t="s">
        <v>4110</v>
      </c>
      <c r="E1198" s="642" t="s">
        <v>4193</v>
      </c>
      <c r="F1198" s="615" t="s">
        <v>4118</v>
      </c>
      <c r="G1198" s="689" t="s">
        <v>18</v>
      </c>
      <c r="H1198" s="617" t="s">
        <v>4105</v>
      </c>
      <c r="I1198" s="615" t="s">
        <v>4102</v>
      </c>
      <c r="J1198" s="618">
        <v>74999.990000000005</v>
      </c>
      <c r="K1198" s="684">
        <v>56.457999999999998</v>
      </c>
      <c r="L1198" s="691">
        <f t="shared" si="111"/>
        <v>1328.4209500867903</v>
      </c>
      <c r="M1198" s="692">
        <v>60</v>
      </c>
      <c r="N1198" s="667">
        <f t="shared" si="112"/>
        <v>1249.9998333333335</v>
      </c>
      <c r="O1198" s="647">
        <f t="shared" ca="1" si="110"/>
        <v>12</v>
      </c>
      <c r="P1198" s="691">
        <v>11463.7</v>
      </c>
      <c r="Q1198" s="667">
        <f t="shared" si="109"/>
        <v>11463.7</v>
      </c>
      <c r="R1198" s="615" t="s">
        <v>4238</v>
      </c>
    </row>
    <row r="1199" spans="2:18" ht="50.1" customHeight="1" x14ac:dyDescent="0.25">
      <c r="B1199" s="688">
        <v>44950</v>
      </c>
      <c r="C1199" s="688">
        <v>45054</v>
      </c>
      <c r="D1199" s="615" t="s">
        <v>4110</v>
      </c>
      <c r="E1199" s="642" t="s">
        <v>4194</v>
      </c>
      <c r="F1199" s="615" t="s">
        <v>4118</v>
      </c>
      <c r="G1199" s="689" t="s">
        <v>18</v>
      </c>
      <c r="H1199" s="617" t="s">
        <v>4105</v>
      </c>
      <c r="I1199" s="615" t="s">
        <v>4103</v>
      </c>
      <c r="J1199" s="618">
        <v>74999.990000000005</v>
      </c>
      <c r="K1199" s="684">
        <v>56.457999999999998</v>
      </c>
      <c r="L1199" s="691">
        <f t="shared" si="111"/>
        <v>1328.4209500867903</v>
      </c>
      <c r="M1199" s="692">
        <v>60</v>
      </c>
      <c r="N1199" s="667">
        <f t="shared" si="112"/>
        <v>1249.9998333333335</v>
      </c>
      <c r="O1199" s="647">
        <f t="shared" ca="1" si="110"/>
        <v>12</v>
      </c>
      <c r="P1199" s="691">
        <v>11463.7</v>
      </c>
      <c r="Q1199" s="667">
        <f t="shared" si="109"/>
        <v>11463.7</v>
      </c>
      <c r="R1199" s="615" t="s">
        <v>4238</v>
      </c>
    </row>
    <row r="1200" spans="2:18" ht="50.1" customHeight="1" x14ac:dyDescent="0.25">
      <c r="B1200" s="688">
        <v>44950</v>
      </c>
      <c r="C1200" s="688">
        <v>45054</v>
      </c>
      <c r="D1200" s="615" t="s">
        <v>4110</v>
      </c>
      <c r="E1200" s="642" t="s">
        <v>4195</v>
      </c>
      <c r="F1200" s="643" t="s">
        <v>4119</v>
      </c>
      <c r="G1200" s="689" t="s">
        <v>18</v>
      </c>
      <c r="H1200" s="617" t="s">
        <v>1445</v>
      </c>
      <c r="I1200" s="615" t="s">
        <v>4107</v>
      </c>
      <c r="J1200" s="618">
        <v>7199.99</v>
      </c>
      <c r="K1200" s="684">
        <v>56.457999999999998</v>
      </c>
      <c r="L1200" s="691">
        <f t="shared" si="111"/>
        <v>127.52825108930533</v>
      </c>
      <c r="M1200" s="692">
        <v>60</v>
      </c>
      <c r="N1200" s="667">
        <f t="shared" si="112"/>
        <v>119.99983333333333</v>
      </c>
      <c r="O1200" s="647">
        <f t="shared" ca="1" si="110"/>
        <v>12</v>
      </c>
      <c r="P1200" s="691">
        <v>11463.7</v>
      </c>
      <c r="Q1200" s="667">
        <f t="shared" si="109"/>
        <v>11463.7</v>
      </c>
      <c r="R1200" s="615" t="s">
        <v>4238</v>
      </c>
    </row>
    <row r="1201" spans="2:19" ht="50.1" customHeight="1" x14ac:dyDescent="0.25">
      <c r="B1201" s="688">
        <v>44950</v>
      </c>
      <c r="C1201" s="688">
        <v>45054</v>
      </c>
      <c r="D1201" s="615" t="s">
        <v>4110</v>
      </c>
      <c r="E1201" s="642" t="s">
        <v>4196</v>
      </c>
      <c r="F1201" s="643" t="s">
        <v>4119</v>
      </c>
      <c r="G1201" s="689" t="s">
        <v>18</v>
      </c>
      <c r="H1201" s="617" t="s">
        <v>4105</v>
      </c>
      <c r="I1201" s="615" t="s">
        <v>4103</v>
      </c>
      <c r="J1201" s="618">
        <v>7199.99</v>
      </c>
      <c r="K1201" s="684">
        <v>56.457999999999998</v>
      </c>
      <c r="L1201" s="691">
        <f t="shared" si="111"/>
        <v>127.52825108930533</v>
      </c>
      <c r="M1201" s="692">
        <v>60</v>
      </c>
      <c r="N1201" s="667">
        <f t="shared" si="112"/>
        <v>119.99983333333333</v>
      </c>
      <c r="O1201" s="647">
        <f t="shared" ca="1" si="110"/>
        <v>12</v>
      </c>
      <c r="P1201" s="691">
        <v>11463.7</v>
      </c>
      <c r="Q1201" s="667">
        <f t="shared" si="109"/>
        <v>11463.7</v>
      </c>
      <c r="R1201" s="615" t="s">
        <v>4238</v>
      </c>
    </row>
    <row r="1202" spans="2:19" ht="50.1" customHeight="1" x14ac:dyDescent="0.25">
      <c r="B1202" s="688">
        <v>44950</v>
      </c>
      <c r="C1202" s="688">
        <v>45054</v>
      </c>
      <c r="D1202" s="615" t="s">
        <v>4154</v>
      </c>
      <c r="E1202" s="642" t="s">
        <v>4197</v>
      </c>
      <c r="F1202" s="643" t="s">
        <v>4119</v>
      </c>
      <c r="G1202" s="689" t="s">
        <v>18</v>
      </c>
      <c r="H1202" s="617" t="s">
        <v>4105</v>
      </c>
      <c r="I1202" s="615" t="s">
        <v>4104</v>
      </c>
      <c r="J1202" s="618">
        <v>7199.99</v>
      </c>
      <c r="K1202" s="684">
        <v>56.457999999999998</v>
      </c>
      <c r="L1202" s="691">
        <f t="shared" si="111"/>
        <v>127.52825108930533</v>
      </c>
      <c r="M1202" s="692">
        <v>60</v>
      </c>
      <c r="N1202" s="667">
        <f t="shared" si="112"/>
        <v>119.99983333333333</v>
      </c>
      <c r="O1202" s="647">
        <f t="shared" ca="1" si="110"/>
        <v>12</v>
      </c>
      <c r="P1202" s="691">
        <v>11463.7</v>
      </c>
      <c r="Q1202" s="667">
        <f t="shared" si="109"/>
        <v>11463.7</v>
      </c>
      <c r="R1202" s="615" t="s">
        <v>4238</v>
      </c>
    </row>
    <row r="1203" spans="2:19" ht="50.1" customHeight="1" x14ac:dyDescent="0.25">
      <c r="B1203" s="688">
        <v>44950</v>
      </c>
      <c r="C1203" s="688">
        <v>45054</v>
      </c>
      <c r="D1203" s="615" t="s">
        <v>4110</v>
      </c>
      <c r="E1203" s="642" t="s">
        <v>4198</v>
      </c>
      <c r="F1203" s="615" t="s">
        <v>4120</v>
      </c>
      <c r="G1203" s="689" t="s">
        <v>18</v>
      </c>
      <c r="H1203" s="641" t="s">
        <v>4416</v>
      </c>
      <c r="I1203" s="615" t="s">
        <v>4106</v>
      </c>
      <c r="J1203" s="618">
        <v>17599.990000000002</v>
      </c>
      <c r="K1203" s="684">
        <v>56.457999999999998</v>
      </c>
      <c r="L1203" s="691">
        <f t="shared" si="111"/>
        <v>311.73598072903758</v>
      </c>
      <c r="M1203" s="692">
        <v>60</v>
      </c>
      <c r="N1203" s="667">
        <f t="shared" si="112"/>
        <v>293.33316666666667</v>
      </c>
      <c r="O1203" s="647">
        <f t="shared" ca="1" si="110"/>
        <v>12</v>
      </c>
      <c r="P1203" s="691">
        <v>11463.7</v>
      </c>
      <c r="Q1203" s="667">
        <f t="shared" si="109"/>
        <v>11463.7</v>
      </c>
      <c r="R1203" s="615" t="s">
        <v>4238</v>
      </c>
    </row>
    <row r="1204" spans="2:19" ht="50.1" customHeight="1" x14ac:dyDescent="0.25">
      <c r="B1204" s="688">
        <v>44950</v>
      </c>
      <c r="C1204" s="688">
        <v>45054</v>
      </c>
      <c r="D1204" s="615" t="s">
        <v>4110</v>
      </c>
      <c r="E1204" s="642" t="s">
        <v>4199</v>
      </c>
      <c r="F1204" s="615" t="s">
        <v>4121</v>
      </c>
      <c r="G1204" s="689" t="s">
        <v>18</v>
      </c>
      <c r="H1204" s="617" t="s">
        <v>1445</v>
      </c>
      <c r="I1204" s="615" t="s">
        <v>4107</v>
      </c>
      <c r="J1204" s="618">
        <v>17599.990000000002</v>
      </c>
      <c r="K1204" s="684">
        <v>56.457999999999998</v>
      </c>
      <c r="L1204" s="691">
        <f t="shared" si="111"/>
        <v>311.73598072903758</v>
      </c>
      <c r="M1204" s="692">
        <v>60</v>
      </c>
      <c r="N1204" s="667">
        <f t="shared" si="112"/>
        <v>293.33316666666667</v>
      </c>
      <c r="O1204" s="647">
        <f t="shared" ca="1" si="110"/>
        <v>12</v>
      </c>
      <c r="P1204" s="691">
        <v>11463.7</v>
      </c>
      <c r="Q1204" s="667">
        <f t="shared" si="109"/>
        <v>11463.7</v>
      </c>
      <c r="R1204" s="615" t="s">
        <v>4238</v>
      </c>
    </row>
    <row r="1205" spans="2:19" ht="50.1" customHeight="1" x14ac:dyDescent="0.25">
      <c r="B1205" s="688">
        <v>44950</v>
      </c>
      <c r="C1205" s="688">
        <v>45054</v>
      </c>
      <c r="D1205" s="615" t="s">
        <v>4110</v>
      </c>
      <c r="E1205" s="642" t="s">
        <v>4200</v>
      </c>
      <c r="F1205" s="615" t="s">
        <v>4122</v>
      </c>
      <c r="G1205" s="689" t="s">
        <v>18</v>
      </c>
      <c r="H1205" s="617" t="s">
        <v>4105</v>
      </c>
      <c r="I1205" s="615" t="s">
        <v>4103</v>
      </c>
      <c r="J1205" s="618">
        <v>17599.990000000002</v>
      </c>
      <c r="K1205" s="684">
        <v>56.457999999999998</v>
      </c>
      <c r="L1205" s="691">
        <f t="shared" si="111"/>
        <v>311.73598072903758</v>
      </c>
      <c r="M1205" s="692">
        <v>60</v>
      </c>
      <c r="N1205" s="667">
        <f t="shared" si="112"/>
        <v>293.33316666666667</v>
      </c>
      <c r="O1205" s="647">
        <f t="shared" ca="1" si="110"/>
        <v>12</v>
      </c>
      <c r="P1205" s="691">
        <v>11463.7</v>
      </c>
      <c r="Q1205" s="667">
        <f t="shared" si="109"/>
        <v>11463.7</v>
      </c>
      <c r="R1205" s="615" t="s">
        <v>4238</v>
      </c>
    </row>
    <row r="1206" spans="2:19" ht="50.1" customHeight="1" x14ac:dyDescent="0.25">
      <c r="B1206" s="688">
        <v>44950</v>
      </c>
      <c r="C1206" s="688">
        <v>45054</v>
      </c>
      <c r="D1206" s="615" t="s">
        <v>4110</v>
      </c>
      <c r="E1206" s="642" t="s">
        <v>4201</v>
      </c>
      <c r="F1206" s="615" t="s">
        <v>4123</v>
      </c>
      <c r="G1206" s="689" t="s">
        <v>18</v>
      </c>
      <c r="H1206" s="617" t="s">
        <v>4105</v>
      </c>
      <c r="I1206" s="615" t="s">
        <v>4104</v>
      </c>
      <c r="J1206" s="618">
        <v>17599.990000000002</v>
      </c>
      <c r="K1206" s="684">
        <v>56.457999999999998</v>
      </c>
      <c r="L1206" s="691">
        <f t="shared" si="111"/>
        <v>311.73598072903758</v>
      </c>
      <c r="M1206" s="692">
        <v>60</v>
      </c>
      <c r="N1206" s="667">
        <f t="shared" si="112"/>
        <v>293.33316666666667</v>
      </c>
      <c r="O1206" s="647">
        <f t="shared" ca="1" si="110"/>
        <v>12</v>
      </c>
      <c r="P1206" s="691">
        <v>11463.7</v>
      </c>
      <c r="Q1206" s="667">
        <f t="shared" si="109"/>
        <v>11463.7</v>
      </c>
      <c r="R1206" s="615" t="s">
        <v>4238</v>
      </c>
    </row>
    <row r="1207" spans="2:19" ht="50.1" customHeight="1" x14ac:dyDescent="0.25">
      <c r="B1207" s="688">
        <v>44950</v>
      </c>
      <c r="C1207" s="688">
        <v>45054</v>
      </c>
      <c r="D1207" s="615" t="s">
        <v>4110</v>
      </c>
      <c r="E1207" s="642" t="s">
        <v>4256</v>
      </c>
      <c r="F1207" s="615" t="s">
        <v>4124</v>
      </c>
      <c r="G1207" s="689" t="s">
        <v>18</v>
      </c>
      <c r="H1207" s="641" t="s">
        <v>4416</v>
      </c>
      <c r="I1207" s="615" t="s">
        <v>4106</v>
      </c>
      <c r="J1207" s="711">
        <v>14999.99</v>
      </c>
      <c r="K1207" s="684">
        <v>56.457999999999998</v>
      </c>
      <c r="L1207" s="691">
        <f t="shared" si="111"/>
        <v>265.68404831910448</v>
      </c>
      <c r="M1207" s="692">
        <v>60</v>
      </c>
      <c r="N1207" s="667">
        <f t="shared" si="112"/>
        <v>249.99983333333333</v>
      </c>
      <c r="O1207" s="647">
        <f t="shared" ca="1" si="110"/>
        <v>12</v>
      </c>
      <c r="P1207" s="691">
        <v>11463.7</v>
      </c>
      <c r="Q1207" s="667">
        <f t="shared" si="109"/>
        <v>11463.7</v>
      </c>
      <c r="R1207" s="615" t="s">
        <v>4238</v>
      </c>
      <c r="S1207" s="712" t="s">
        <v>4570</v>
      </c>
    </row>
    <row r="1208" spans="2:19" ht="50.1" customHeight="1" x14ac:dyDescent="0.25">
      <c r="B1208" s="688">
        <v>44950</v>
      </c>
      <c r="C1208" s="688">
        <v>45054</v>
      </c>
      <c r="D1208" s="615" t="s">
        <v>4110</v>
      </c>
      <c r="E1208" s="642" t="s">
        <v>4257</v>
      </c>
      <c r="F1208" s="615" t="s">
        <v>4124</v>
      </c>
      <c r="G1208" s="689" t="s">
        <v>18</v>
      </c>
      <c r="H1208" s="641" t="s">
        <v>4416</v>
      </c>
      <c r="I1208" s="615" t="s">
        <v>4106</v>
      </c>
      <c r="J1208" s="711">
        <v>14999.99</v>
      </c>
      <c r="K1208" s="684">
        <v>56.457999999999998</v>
      </c>
      <c r="L1208" s="691">
        <f t="shared" si="111"/>
        <v>265.68404831910448</v>
      </c>
      <c r="M1208" s="692">
        <v>60</v>
      </c>
      <c r="N1208" s="667">
        <f t="shared" si="112"/>
        <v>249.99983333333333</v>
      </c>
      <c r="O1208" s="647">
        <f t="shared" ca="1" si="110"/>
        <v>12</v>
      </c>
      <c r="P1208" s="691">
        <v>11463.7</v>
      </c>
      <c r="Q1208" s="667">
        <f t="shared" si="109"/>
        <v>11463.7</v>
      </c>
      <c r="R1208" s="615" t="s">
        <v>4238</v>
      </c>
      <c r="S1208" s="712" t="s">
        <v>4570</v>
      </c>
    </row>
    <row r="1209" spans="2:19" ht="50.1" customHeight="1" x14ac:dyDescent="0.25">
      <c r="B1209" s="688">
        <v>44950</v>
      </c>
      <c r="C1209" s="688">
        <v>45054</v>
      </c>
      <c r="D1209" s="615" t="s">
        <v>4110</v>
      </c>
      <c r="E1209" s="642" t="s">
        <v>4258</v>
      </c>
      <c r="F1209" s="615" t="s">
        <v>4124</v>
      </c>
      <c r="G1209" s="689" t="s">
        <v>18</v>
      </c>
      <c r="H1209" s="641" t="s">
        <v>4416</v>
      </c>
      <c r="I1209" s="615" t="s">
        <v>4106</v>
      </c>
      <c r="J1209" s="711">
        <v>14999.99</v>
      </c>
      <c r="K1209" s="684">
        <v>56.457999999999998</v>
      </c>
      <c r="L1209" s="691">
        <f t="shared" si="111"/>
        <v>265.68404831910448</v>
      </c>
      <c r="M1209" s="692">
        <v>60</v>
      </c>
      <c r="N1209" s="667">
        <f t="shared" si="112"/>
        <v>249.99983333333333</v>
      </c>
      <c r="O1209" s="647">
        <f t="shared" ca="1" si="110"/>
        <v>12</v>
      </c>
      <c r="P1209" s="691">
        <v>11463.7</v>
      </c>
      <c r="Q1209" s="667">
        <f t="shared" si="109"/>
        <v>11463.7</v>
      </c>
      <c r="R1209" s="615" t="s">
        <v>4238</v>
      </c>
      <c r="S1209" s="712" t="s">
        <v>4570</v>
      </c>
    </row>
    <row r="1210" spans="2:19" ht="50.1" customHeight="1" x14ac:dyDescent="0.25">
      <c r="B1210" s="688">
        <v>44950</v>
      </c>
      <c r="C1210" s="688">
        <v>45054</v>
      </c>
      <c r="D1210" s="615" t="s">
        <v>4110</v>
      </c>
      <c r="E1210" s="642" t="s">
        <v>4259</v>
      </c>
      <c r="F1210" s="615" t="s">
        <v>4124</v>
      </c>
      <c r="G1210" s="689" t="s">
        <v>18</v>
      </c>
      <c r="H1210" s="617" t="s">
        <v>1445</v>
      </c>
      <c r="I1210" s="615" t="s">
        <v>4419</v>
      </c>
      <c r="J1210" s="711">
        <v>14999.99</v>
      </c>
      <c r="K1210" s="684">
        <v>56.457999999999998</v>
      </c>
      <c r="L1210" s="691">
        <f t="shared" si="111"/>
        <v>265.68404831910448</v>
      </c>
      <c r="M1210" s="692">
        <v>60</v>
      </c>
      <c r="N1210" s="667">
        <f t="shared" si="112"/>
        <v>249.99983333333333</v>
      </c>
      <c r="O1210" s="647">
        <f t="shared" ca="1" si="110"/>
        <v>12</v>
      </c>
      <c r="P1210" s="691">
        <v>11463.7</v>
      </c>
      <c r="Q1210" s="667">
        <f t="shared" si="109"/>
        <v>11463.7</v>
      </c>
      <c r="R1210" s="615" t="s">
        <v>4238</v>
      </c>
      <c r="S1210" s="712" t="s">
        <v>4570</v>
      </c>
    </row>
    <row r="1211" spans="2:19" ht="50.1" customHeight="1" x14ac:dyDescent="0.25">
      <c r="B1211" s="688">
        <v>44950</v>
      </c>
      <c r="C1211" s="688">
        <v>45054</v>
      </c>
      <c r="D1211" s="615" t="s">
        <v>4110</v>
      </c>
      <c r="E1211" s="642" t="s">
        <v>4260</v>
      </c>
      <c r="F1211" s="615" t="s">
        <v>4124</v>
      </c>
      <c r="G1211" s="689" t="s">
        <v>18</v>
      </c>
      <c r="H1211" s="617" t="s">
        <v>1445</v>
      </c>
      <c r="I1211" s="615" t="s">
        <v>4419</v>
      </c>
      <c r="J1211" s="711">
        <v>14999.99</v>
      </c>
      <c r="K1211" s="684">
        <v>56.457999999999998</v>
      </c>
      <c r="L1211" s="691">
        <f t="shared" si="111"/>
        <v>265.68404831910448</v>
      </c>
      <c r="M1211" s="692">
        <v>60</v>
      </c>
      <c r="N1211" s="667">
        <f t="shared" si="112"/>
        <v>249.99983333333333</v>
      </c>
      <c r="O1211" s="647">
        <f t="shared" ca="1" si="110"/>
        <v>12</v>
      </c>
      <c r="P1211" s="691">
        <v>11463.7</v>
      </c>
      <c r="Q1211" s="667">
        <f t="shared" si="109"/>
        <v>11463.7</v>
      </c>
      <c r="R1211" s="615" t="s">
        <v>4238</v>
      </c>
      <c r="S1211" s="712" t="s">
        <v>4570</v>
      </c>
    </row>
    <row r="1212" spans="2:19" ht="50.1" customHeight="1" x14ac:dyDescent="0.25">
      <c r="B1212" s="688">
        <v>44950</v>
      </c>
      <c r="C1212" s="688">
        <v>45054</v>
      </c>
      <c r="D1212" s="615" t="s">
        <v>4110</v>
      </c>
      <c r="E1212" s="642" t="s">
        <v>4261</v>
      </c>
      <c r="F1212" s="615" t="s">
        <v>4124</v>
      </c>
      <c r="G1212" s="689" t="s">
        <v>18</v>
      </c>
      <c r="H1212" s="617" t="s">
        <v>1445</v>
      </c>
      <c r="I1212" s="615" t="s">
        <v>4107</v>
      </c>
      <c r="J1212" s="711">
        <v>14999.99</v>
      </c>
      <c r="K1212" s="684">
        <v>56.457999999999998</v>
      </c>
      <c r="L1212" s="691">
        <f t="shared" si="111"/>
        <v>265.68404831910448</v>
      </c>
      <c r="M1212" s="692">
        <v>60</v>
      </c>
      <c r="N1212" s="667">
        <f t="shared" si="112"/>
        <v>249.99983333333333</v>
      </c>
      <c r="O1212" s="647">
        <f t="shared" ca="1" si="110"/>
        <v>12</v>
      </c>
      <c r="P1212" s="691">
        <v>11463.7</v>
      </c>
      <c r="Q1212" s="667">
        <f t="shared" si="109"/>
        <v>11463.7</v>
      </c>
      <c r="R1212" s="615" t="s">
        <v>4238</v>
      </c>
      <c r="S1212" s="712" t="s">
        <v>4570</v>
      </c>
    </row>
    <row r="1213" spans="2:19" ht="50.1" customHeight="1" x14ac:dyDescent="0.25">
      <c r="B1213" s="688">
        <v>44950</v>
      </c>
      <c r="C1213" s="688">
        <v>45054</v>
      </c>
      <c r="D1213" s="615" t="s">
        <v>4110</v>
      </c>
      <c r="E1213" s="642" t="s">
        <v>4262</v>
      </c>
      <c r="F1213" s="615" t="s">
        <v>4124</v>
      </c>
      <c r="G1213" s="689" t="s">
        <v>18</v>
      </c>
      <c r="H1213" s="617" t="s">
        <v>1445</v>
      </c>
      <c r="I1213" s="615" t="s">
        <v>4107</v>
      </c>
      <c r="J1213" s="711">
        <v>14999.99</v>
      </c>
      <c r="K1213" s="684">
        <v>56.457999999999998</v>
      </c>
      <c r="L1213" s="691">
        <f t="shared" si="111"/>
        <v>265.68404831910448</v>
      </c>
      <c r="M1213" s="692">
        <v>60</v>
      </c>
      <c r="N1213" s="667">
        <f t="shared" si="112"/>
        <v>249.99983333333333</v>
      </c>
      <c r="O1213" s="647">
        <f t="shared" ca="1" si="110"/>
        <v>12</v>
      </c>
      <c r="P1213" s="691">
        <v>11463.7</v>
      </c>
      <c r="Q1213" s="667">
        <f t="shared" si="109"/>
        <v>11463.7</v>
      </c>
      <c r="R1213" s="615" t="s">
        <v>4238</v>
      </c>
      <c r="S1213" s="712" t="s">
        <v>4570</v>
      </c>
    </row>
    <row r="1214" spans="2:19" ht="50.1" customHeight="1" x14ac:dyDescent="0.25">
      <c r="B1214" s="688">
        <v>44950</v>
      </c>
      <c r="C1214" s="688">
        <v>45054</v>
      </c>
      <c r="D1214" s="615" t="s">
        <v>4110</v>
      </c>
      <c r="E1214" s="642" t="s">
        <v>4263</v>
      </c>
      <c r="F1214" s="615" t="s">
        <v>4124</v>
      </c>
      <c r="G1214" s="689" t="s">
        <v>18</v>
      </c>
      <c r="H1214" s="617" t="s">
        <v>1445</v>
      </c>
      <c r="I1214" s="615" t="s">
        <v>4107</v>
      </c>
      <c r="J1214" s="711">
        <v>14999.99</v>
      </c>
      <c r="K1214" s="684">
        <v>56.457999999999998</v>
      </c>
      <c r="L1214" s="691">
        <f t="shared" si="111"/>
        <v>265.68404831910448</v>
      </c>
      <c r="M1214" s="692">
        <v>60</v>
      </c>
      <c r="N1214" s="667">
        <f t="shared" si="112"/>
        <v>249.99983333333333</v>
      </c>
      <c r="O1214" s="647">
        <f t="shared" ca="1" si="110"/>
        <v>12</v>
      </c>
      <c r="P1214" s="691">
        <v>11463.7</v>
      </c>
      <c r="Q1214" s="667">
        <f t="shared" si="109"/>
        <v>11463.7</v>
      </c>
      <c r="R1214" s="615" t="s">
        <v>4238</v>
      </c>
      <c r="S1214" s="712" t="s">
        <v>4570</v>
      </c>
    </row>
    <row r="1215" spans="2:19" ht="50.1" customHeight="1" x14ac:dyDescent="0.25">
      <c r="B1215" s="688">
        <v>44950</v>
      </c>
      <c r="C1215" s="688">
        <v>45054</v>
      </c>
      <c r="D1215" s="615" t="s">
        <v>4110</v>
      </c>
      <c r="E1215" s="642" t="s">
        <v>4264</v>
      </c>
      <c r="F1215" s="615" t="s">
        <v>4124</v>
      </c>
      <c r="G1215" s="689" t="s">
        <v>18</v>
      </c>
      <c r="H1215" s="617" t="s">
        <v>4105</v>
      </c>
      <c r="I1215" s="615" t="s">
        <v>4102</v>
      </c>
      <c r="J1215" s="711">
        <v>14999.99</v>
      </c>
      <c r="K1215" s="684">
        <v>56.457999999999998</v>
      </c>
      <c r="L1215" s="691">
        <f t="shared" si="111"/>
        <v>265.68404831910448</v>
      </c>
      <c r="M1215" s="692">
        <v>60</v>
      </c>
      <c r="N1215" s="667">
        <f t="shared" si="112"/>
        <v>249.99983333333333</v>
      </c>
      <c r="O1215" s="647">
        <f t="shared" ca="1" si="110"/>
        <v>12</v>
      </c>
      <c r="P1215" s="691">
        <v>11463.7</v>
      </c>
      <c r="Q1215" s="667">
        <f t="shared" si="109"/>
        <v>11463.7</v>
      </c>
      <c r="R1215" s="615" t="s">
        <v>4238</v>
      </c>
      <c r="S1215" s="712" t="s">
        <v>4570</v>
      </c>
    </row>
    <row r="1216" spans="2:19" ht="50.1" customHeight="1" x14ac:dyDescent="0.25">
      <c r="B1216" s="688">
        <v>44950</v>
      </c>
      <c r="C1216" s="688">
        <v>45054</v>
      </c>
      <c r="D1216" s="615" t="s">
        <v>4110</v>
      </c>
      <c r="E1216" s="642" t="s">
        <v>4268</v>
      </c>
      <c r="F1216" s="615" t="s">
        <v>4124</v>
      </c>
      <c r="G1216" s="689" t="s">
        <v>18</v>
      </c>
      <c r="H1216" s="617" t="s">
        <v>4105</v>
      </c>
      <c r="I1216" s="615" t="s">
        <v>4102</v>
      </c>
      <c r="J1216" s="711">
        <v>14999.99</v>
      </c>
      <c r="K1216" s="684">
        <v>56.457999999999998</v>
      </c>
      <c r="L1216" s="691">
        <f t="shared" si="111"/>
        <v>265.68404831910448</v>
      </c>
      <c r="M1216" s="692">
        <v>60</v>
      </c>
      <c r="N1216" s="667">
        <f t="shared" si="112"/>
        <v>249.99983333333333</v>
      </c>
      <c r="O1216" s="647">
        <f t="shared" ca="1" si="110"/>
        <v>12</v>
      </c>
      <c r="P1216" s="691">
        <v>11463.7</v>
      </c>
      <c r="Q1216" s="667">
        <f t="shared" si="109"/>
        <v>11463.7</v>
      </c>
      <c r="R1216" s="615" t="s">
        <v>4238</v>
      </c>
      <c r="S1216" s="712" t="s">
        <v>4570</v>
      </c>
    </row>
    <row r="1217" spans="2:19" ht="50.1" customHeight="1" x14ac:dyDescent="0.25">
      <c r="B1217" s="688">
        <v>44950</v>
      </c>
      <c r="C1217" s="688">
        <v>45054</v>
      </c>
      <c r="D1217" s="615" t="s">
        <v>4110</v>
      </c>
      <c r="E1217" s="642" t="s">
        <v>4265</v>
      </c>
      <c r="F1217" s="615" t="s">
        <v>4124</v>
      </c>
      <c r="G1217" s="689" t="s">
        <v>18</v>
      </c>
      <c r="H1217" s="617" t="s">
        <v>4105</v>
      </c>
      <c r="I1217" s="615" t="s">
        <v>4102</v>
      </c>
      <c r="J1217" s="711">
        <v>14999.99</v>
      </c>
      <c r="K1217" s="684">
        <v>56.457999999999998</v>
      </c>
      <c r="L1217" s="691">
        <f t="shared" si="111"/>
        <v>265.68404831910448</v>
      </c>
      <c r="M1217" s="692">
        <v>60</v>
      </c>
      <c r="N1217" s="667">
        <f t="shared" si="112"/>
        <v>249.99983333333333</v>
      </c>
      <c r="O1217" s="647">
        <f t="shared" ca="1" si="110"/>
        <v>12</v>
      </c>
      <c r="P1217" s="691">
        <v>11463.7</v>
      </c>
      <c r="Q1217" s="667">
        <f t="shared" si="109"/>
        <v>11463.7</v>
      </c>
      <c r="R1217" s="615" t="s">
        <v>4238</v>
      </c>
      <c r="S1217" s="712" t="s">
        <v>4570</v>
      </c>
    </row>
    <row r="1218" spans="2:19" ht="50.1" customHeight="1" x14ac:dyDescent="0.25">
      <c r="B1218" s="688">
        <v>44950</v>
      </c>
      <c r="C1218" s="688">
        <v>45054</v>
      </c>
      <c r="D1218" s="615" t="s">
        <v>4110</v>
      </c>
      <c r="E1218" s="642" t="s">
        <v>4266</v>
      </c>
      <c r="F1218" s="615" t="s">
        <v>4124</v>
      </c>
      <c r="G1218" s="689" t="s">
        <v>18</v>
      </c>
      <c r="H1218" s="617" t="s">
        <v>4105</v>
      </c>
      <c r="I1218" s="615" t="s">
        <v>4104</v>
      </c>
      <c r="J1218" s="711">
        <v>14999.99</v>
      </c>
      <c r="K1218" s="684">
        <v>56.457999999999998</v>
      </c>
      <c r="L1218" s="691">
        <f t="shared" si="111"/>
        <v>265.68404831910448</v>
      </c>
      <c r="M1218" s="692">
        <v>60</v>
      </c>
      <c r="N1218" s="667">
        <f t="shared" si="112"/>
        <v>249.99983333333333</v>
      </c>
      <c r="O1218" s="647">
        <f t="shared" ca="1" si="110"/>
        <v>12</v>
      </c>
      <c r="P1218" s="691">
        <v>11463.7</v>
      </c>
      <c r="Q1218" s="667">
        <f t="shared" si="109"/>
        <v>11463.7</v>
      </c>
      <c r="R1218" s="615" t="s">
        <v>4238</v>
      </c>
      <c r="S1218" s="712" t="s">
        <v>4570</v>
      </c>
    </row>
    <row r="1219" spans="2:19" ht="50.1" customHeight="1" x14ac:dyDescent="0.25">
      <c r="B1219" s="688">
        <v>44950</v>
      </c>
      <c r="C1219" s="688">
        <v>45054</v>
      </c>
      <c r="D1219" s="615" t="s">
        <v>4110</v>
      </c>
      <c r="E1219" s="642" t="s">
        <v>4267</v>
      </c>
      <c r="F1219" s="615" t="s">
        <v>4124</v>
      </c>
      <c r="G1219" s="689" t="s">
        <v>18</v>
      </c>
      <c r="H1219" s="617" t="s">
        <v>4105</v>
      </c>
      <c r="I1219" s="615" t="s">
        <v>4104</v>
      </c>
      <c r="J1219" s="711">
        <v>14999.99</v>
      </c>
      <c r="K1219" s="684">
        <v>56.457999999999998</v>
      </c>
      <c r="L1219" s="691">
        <f t="shared" si="111"/>
        <v>265.68404831910448</v>
      </c>
      <c r="M1219" s="692">
        <v>60</v>
      </c>
      <c r="N1219" s="667">
        <f t="shared" si="112"/>
        <v>249.99983333333333</v>
      </c>
      <c r="O1219" s="647">
        <f t="shared" ca="1" si="110"/>
        <v>12</v>
      </c>
      <c r="P1219" s="691">
        <v>11463.7</v>
      </c>
      <c r="Q1219" s="667">
        <f t="shared" si="109"/>
        <v>11463.7</v>
      </c>
      <c r="R1219" s="615" t="s">
        <v>4238</v>
      </c>
      <c r="S1219" s="712" t="s">
        <v>4570</v>
      </c>
    </row>
    <row r="1220" spans="2:19" ht="50.1" customHeight="1" x14ac:dyDescent="0.25">
      <c r="B1220" s="688">
        <v>44950</v>
      </c>
      <c r="C1220" s="688">
        <v>45054</v>
      </c>
      <c r="D1220" s="615" t="s">
        <v>4110</v>
      </c>
      <c r="E1220" s="642" t="s">
        <v>4215</v>
      </c>
      <c r="F1220" s="615" t="s">
        <v>4125</v>
      </c>
      <c r="G1220" s="689" t="s">
        <v>18</v>
      </c>
      <c r="H1220" s="641" t="s">
        <v>4416</v>
      </c>
      <c r="I1220" s="615" t="s">
        <v>4106</v>
      </c>
      <c r="J1220" s="618">
        <v>36499.99</v>
      </c>
      <c r="K1220" s="684">
        <v>56.457999999999998</v>
      </c>
      <c r="L1220" s="691">
        <f t="shared" si="111"/>
        <v>646.49810478585846</v>
      </c>
      <c r="M1220" s="692">
        <v>60</v>
      </c>
      <c r="N1220" s="667">
        <f t="shared" si="112"/>
        <v>608.33316666666667</v>
      </c>
      <c r="O1220" s="647">
        <f t="shared" ca="1" si="110"/>
        <v>12</v>
      </c>
      <c r="P1220" s="691">
        <v>11463.7</v>
      </c>
      <c r="Q1220" s="667">
        <f t="shared" si="109"/>
        <v>11463.7</v>
      </c>
      <c r="R1220" s="615" t="s">
        <v>4238</v>
      </c>
    </row>
    <row r="1221" spans="2:19" ht="50.1" customHeight="1" x14ac:dyDescent="0.25">
      <c r="B1221" s="688">
        <v>44950</v>
      </c>
      <c r="C1221" s="688">
        <v>45054</v>
      </c>
      <c r="D1221" s="615" t="s">
        <v>4110</v>
      </c>
      <c r="E1221" s="642" t="s">
        <v>4216</v>
      </c>
      <c r="F1221" s="615" t="s">
        <v>4125</v>
      </c>
      <c r="G1221" s="689" t="s">
        <v>18</v>
      </c>
      <c r="H1221" s="641" t="s">
        <v>4416</v>
      </c>
      <c r="I1221" s="615" t="s">
        <v>4106</v>
      </c>
      <c r="J1221" s="618">
        <v>36499.99</v>
      </c>
      <c r="K1221" s="684">
        <v>56.457999999999998</v>
      </c>
      <c r="L1221" s="691">
        <f t="shared" si="111"/>
        <v>646.49810478585846</v>
      </c>
      <c r="M1221" s="692">
        <v>60</v>
      </c>
      <c r="N1221" s="667">
        <f t="shared" si="112"/>
        <v>608.33316666666667</v>
      </c>
      <c r="O1221" s="647">
        <f t="shared" ca="1" si="110"/>
        <v>12</v>
      </c>
      <c r="P1221" s="691">
        <v>11463.7</v>
      </c>
      <c r="Q1221" s="667">
        <f t="shared" si="109"/>
        <v>11463.7</v>
      </c>
      <c r="R1221" s="615" t="s">
        <v>4238</v>
      </c>
    </row>
    <row r="1222" spans="2:19" ht="50.1" customHeight="1" x14ac:dyDescent="0.25">
      <c r="B1222" s="688">
        <v>44950</v>
      </c>
      <c r="C1222" s="688">
        <v>45054</v>
      </c>
      <c r="D1222" s="615" t="s">
        <v>4110</v>
      </c>
      <c r="E1222" s="642" t="s">
        <v>4217</v>
      </c>
      <c r="F1222" s="615" t="s">
        <v>4125</v>
      </c>
      <c r="G1222" s="689" t="s">
        <v>18</v>
      </c>
      <c r="H1222" s="617" t="s">
        <v>1445</v>
      </c>
      <c r="I1222" s="615" t="s">
        <v>4419</v>
      </c>
      <c r="J1222" s="618">
        <v>36499.99</v>
      </c>
      <c r="K1222" s="684">
        <v>56.457999999999998</v>
      </c>
      <c r="L1222" s="691">
        <f t="shared" si="111"/>
        <v>646.49810478585846</v>
      </c>
      <c r="M1222" s="692">
        <v>60</v>
      </c>
      <c r="N1222" s="667">
        <f t="shared" si="112"/>
        <v>608.33316666666667</v>
      </c>
      <c r="O1222" s="647">
        <f t="shared" ca="1" si="110"/>
        <v>12</v>
      </c>
      <c r="P1222" s="691">
        <v>11463.7</v>
      </c>
      <c r="Q1222" s="667">
        <f t="shared" si="109"/>
        <v>11463.7</v>
      </c>
      <c r="R1222" s="615" t="s">
        <v>4238</v>
      </c>
    </row>
    <row r="1223" spans="2:19" ht="50.1" customHeight="1" x14ac:dyDescent="0.25">
      <c r="B1223" s="688">
        <v>44950</v>
      </c>
      <c r="C1223" s="688">
        <v>45054</v>
      </c>
      <c r="D1223" s="615" t="s">
        <v>4110</v>
      </c>
      <c r="E1223" s="642" t="s">
        <v>4218</v>
      </c>
      <c r="F1223" s="615" t="s">
        <v>4125</v>
      </c>
      <c r="G1223" s="689" t="s">
        <v>18</v>
      </c>
      <c r="H1223" s="617" t="s">
        <v>1445</v>
      </c>
      <c r="I1223" s="615" t="s">
        <v>4107</v>
      </c>
      <c r="J1223" s="618">
        <v>36499.99</v>
      </c>
      <c r="K1223" s="684">
        <v>56.457999999999998</v>
      </c>
      <c r="L1223" s="691">
        <f t="shared" si="111"/>
        <v>646.49810478585846</v>
      </c>
      <c r="M1223" s="692">
        <v>60</v>
      </c>
      <c r="N1223" s="667">
        <f t="shared" si="112"/>
        <v>608.33316666666667</v>
      </c>
      <c r="O1223" s="647">
        <f t="shared" ca="1" si="110"/>
        <v>12</v>
      </c>
      <c r="P1223" s="691">
        <v>11463.7</v>
      </c>
      <c r="Q1223" s="667">
        <f t="shared" si="109"/>
        <v>11463.7</v>
      </c>
      <c r="R1223" s="615" t="s">
        <v>4238</v>
      </c>
    </row>
    <row r="1224" spans="2:19" ht="50.1" customHeight="1" x14ac:dyDescent="0.25">
      <c r="B1224" s="688">
        <v>44950</v>
      </c>
      <c r="C1224" s="688">
        <v>45054</v>
      </c>
      <c r="D1224" s="615" t="s">
        <v>4110</v>
      </c>
      <c r="E1224" s="642" t="s">
        <v>4219</v>
      </c>
      <c r="F1224" s="615" t="s">
        <v>4125</v>
      </c>
      <c r="G1224" s="689" t="s">
        <v>18</v>
      </c>
      <c r="H1224" s="617" t="s">
        <v>1445</v>
      </c>
      <c r="I1224" s="615" t="s">
        <v>4107</v>
      </c>
      <c r="J1224" s="618">
        <v>36499.99</v>
      </c>
      <c r="K1224" s="684">
        <v>56.457999999999998</v>
      </c>
      <c r="L1224" s="691">
        <f t="shared" si="111"/>
        <v>646.49810478585846</v>
      </c>
      <c r="M1224" s="692">
        <v>60</v>
      </c>
      <c r="N1224" s="667">
        <f t="shared" si="112"/>
        <v>608.33316666666667</v>
      </c>
      <c r="O1224" s="647">
        <f t="shared" ca="1" si="110"/>
        <v>12</v>
      </c>
      <c r="P1224" s="691">
        <v>11463.7</v>
      </c>
      <c r="Q1224" s="667">
        <f t="shared" ref="Q1224:Q1287" si="113">IF(P1224&lt;1,1,P1224)</f>
        <v>11463.7</v>
      </c>
      <c r="R1224" s="615" t="s">
        <v>4238</v>
      </c>
    </row>
    <row r="1225" spans="2:19" ht="50.1" customHeight="1" x14ac:dyDescent="0.25">
      <c r="B1225" s="688">
        <v>44950</v>
      </c>
      <c r="C1225" s="688">
        <v>45054</v>
      </c>
      <c r="D1225" s="615" t="s">
        <v>4110</v>
      </c>
      <c r="E1225" s="642" t="s">
        <v>4220</v>
      </c>
      <c r="F1225" s="615" t="s">
        <v>4125</v>
      </c>
      <c r="G1225" s="689" t="s">
        <v>18</v>
      </c>
      <c r="H1225" s="617" t="s">
        <v>1445</v>
      </c>
      <c r="I1225" s="615" t="s">
        <v>4107</v>
      </c>
      <c r="J1225" s="618">
        <v>36499.99</v>
      </c>
      <c r="K1225" s="684">
        <v>56.457999999999998</v>
      </c>
      <c r="L1225" s="691">
        <f t="shared" si="111"/>
        <v>646.49810478585846</v>
      </c>
      <c r="M1225" s="692">
        <v>60</v>
      </c>
      <c r="N1225" s="667">
        <f t="shared" si="112"/>
        <v>608.33316666666667</v>
      </c>
      <c r="O1225" s="647">
        <f t="shared" ca="1" si="110"/>
        <v>12</v>
      </c>
      <c r="P1225" s="691">
        <v>11463.7</v>
      </c>
      <c r="Q1225" s="667">
        <f t="shared" si="113"/>
        <v>11463.7</v>
      </c>
      <c r="R1225" s="615" t="s">
        <v>4238</v>
      </c>
    </row>
    <row r="1226" spans="2:19" ht="50.1" customHeight="1" x14ac:dyDescent="0.25">
      <c r="B1226" s="688">
        <v>44950</v>
      </c>
      <c r="C1226" s="688">
        <v>45054</v>
      </c>
      <c r="D1226" s="615" t="s">
        <v>4110</v>
      </c>
      <c r="E1226" s="642" t="s">
        <v>4221</v>
      </c>
      <c r="F1226" s="615" t="s">
        <v>4125</v>
      </c>
      <c r="G1226" s="689" t="s">
        <v>18</v>
      </c>
      <c r="H1226" s="617" t="s">
        <v>1445</v>
      </c>
      <c r="I1226" s="615" t="s">
        <v>4107</v>
      </c>
      <c r="J1226" s="618">
        <v>36499.99</v>
      </c>
      <c r="K1226" s="684">
        <v>56.457999999999998</v>
      </c>
      <c r="L1226" s="691">
        <f t="shared" si="111"/>
        <v>646.49810478585846</v>
      </c>
      <c r="M1226" s="692">
        <v>60</v>
      </c>
      <c r="N1226" s="667">
        <f t="shared" si="112"/>
        <v>608.33316666666667</v>
      </c>
      <c r="O1226" s="647">
        <f t="shared" ca="1" si="110"/>
        <v>12</v>
      </c>
      <c r="P1226" s="691">
        <v>11463.7</v>
      </c>
      <c r="Q1226" s="667">
        <f t="shared" si="113"/>
        <v>11463.7</v>
      </c>
      <c r="R1226" s="615" t="s">
        <v>4238</v>
      </c>
    </row>
    <row r="1227" spans="2:19" ht="50.1" customHeight="1" x14ac:dyDescent="0.25">
      <c r="B1227" s="688">
        <v>44950</v>
      </c>
      <c r="C1227" s="688">
        <v>45054</v>
      </c>
      <c r="D1227" s="615" t="s">
        <v>4110</v>
      </c>
      <c r="E1227" s="642" t="s">
        <v>4222</v>
      </c>
      <c r="F1227" s="615" t="s">
        <v>4125</v>
      </c>
      <c r="G1227" s="689" t="s">
        <v>18</v>
      </c>
      <c r="H1227" s="617" t="s">
        <v>1445</v>
      </c>
      <c r="I1227" s="615" t="s">
        <v>4107</v>
      </c>
      <c r="J1227" s="618">
        <v>36499.99</v>
      </c>
      <c r="K1227" s="684">
        <v>56.457999999999998</v>
      </c>
      <c r="L1227" s="691">
        <f t="shared" si="111"/>
        <v>646.49810478585846</v>
      </c>
      <c r="M1227" s="692">
        <v>60</v>
      </c>
      <c r="N1227" s="667">
        <f t="shared" si="112"/>
        <v>608.33316666666667</v>
      </c>
      <c r="O1227" s="647">
        <f t="shared" ca="1" si="110"/>
        <v>12</v>
      </c>
      <c r="P1227" s="691">
        <v>11463.7</v>
      </c>
      <c r="Q1227" s="667">
        <f t="shared" si="113"/>
        <v>11463.7</v>
      </c>
      <c r="R1227" s="615" t="s">
        <v>4238</v>
      </c>
    </row>
    <row r="1228" spans="2:19" ht="50.1" customHeight="1" x14ac:dyDescent="0.25">
      <c r="B1228" s="688">
        <v>44950</v>
      </c>
      <c r="C1228" s="688">
        <v>45054</v>
      </c>
      <c r="D1228" s="615" t="s">
        <v>4110</v>
      </c>
      <c r="E1228" s="642" t="s">
        <v>4223</v>
      </c>
      <c r="F1228" s="615" t="s">
        <v>4125</v>
      </c>
      <c r="G1228" s="689" t="s">
        <v>18</v>
      </c>
      <c r="H1228" s="617" t="s">
        <v>1445</v>
      </c>
      <c r="I1228" s="615" t="s">
        <v>4107</v>
      </c>
      <c r="J1228" s="618">
        <v>36499.99</v>
      </c>
      <c r="K1228" s="684">
        <v>56.457999999999998</v>
      </c>
      <c r="L1228" s="691">
        <f t="shared" si="111"/>
        <v>646.49810478585846</v>
      </c>
      <c r="M1228" s="692">
        <v>60</v>
      </c>
      <c r="N1228" s="667">
        <f t="shared" si="112"/>
        <v>608.33316666666667</v>
      </c>
      <c r="O1228" s="647">
        <f t="shared" ca="1" si="110"/>
        <v>12</v>
      </c>
      <c r="P1228" s="691">
        <v>11463.7</v>
      </c>
      <c r="Q1228" s="667">
        <f t="shared" si="113"/>
        <v>11463.7</v>
      </c>
      <c r="R1228" s="615" t="s">
        <v>4238</v>
      </c>
    </row>
    <row r="1229" spans="2:19" ht="50.1" customHeight="1" x14ac:dyDescent="0.25">
      <c r="B1229" s="688">
        <v>44950</v>
      </c>
      <c r="C1229" s="688">
        <v>45054</v>
      </c>
      <c r="D1229" s="615" t="s">
        <v>4110</v>
      </c>
      <c r="E1229" s="642" t="s">
        <v>4224</v>
      </c>
      <c r="F1229" s="615" t="s">
        <v>4125</v>
      </c>
      <c r="G1229" s="689" t="s">
        <v>18</v>
      </c>
      <c r="H1229" s="617" t="s">
        <v>1445</v>
      </c>
      <c r="I1229" s="615" t="s">
        <v>4107</v>
      </c>
      <c r="J1229" s="618">
        <v>36499.99</v>
      </c>
      <c r="K1229" s="684">
        <v>56.457999999999998</v>
      </c>
      <c r="L1229" s="691">
        <f t="shared" si="111"/>
        <v>646.49810478585846</v>
      </c>
      <c r="M1229" s="692">
        <v>60</v>
      </c>
      <c r="N1229" s="667">
        <f t="shared" si="112"/>
        <v>608.33316666666667</v>
      </c>
      <c r="O1229" s="647">
        <f t="shared" ref="O1229:O1292" ca="1" si="114">IF(B1229&lt;&gt;0,(ROUND((NOW()-B1229)/30,0)),0)</f>
        <v>12</v>
      </c>
      <c r="P1229" s="691">
        <v>11463.7</v>
      </c>
      <c r="Q1229" s="667">
        <f t="shared" si="113"/>
        <v>11463.7</v>
      </c>
      <c r="R1229" s="615" t="s">
        <v>4238</v>
      </c>
    </row>
    <row r="1230" spans="2:19" ht="50.1" customHeight="1" x14ac:dyDescent="0.25">
      <c r="B1230" s="688">
        <v>44950</v>
      </c>
      <c r="C1230" s="688">
        <v>45054</v>
      </c>
      <c r="D1230" s="615" t="s">
        <v>4110</v>
      </c>
      <c r="E1230" s="642" t="s">
        <v>4225</v>
      </c>
      <c r="F1230" s="615" t="s">
        <v>4125</v>
      </c>
      <c r="G1230" s="689" t="s">
        <v>18</v>
      </c>
      <c r="H1230" s="617" t="s">
        <v>1445</v>
      </c>
      <c r="I1230" s="615" t="s">
        <v>4107</v>
      </c>
      <c r="J1230" s="618">
        <v>36499.99</v>
      </c>
      <c r="K1230" s="684">
        <v>56.457999999999998</v>
      </c>
      <c r="L1230" s="691">
        <f t="shared" si="111"/>
        <v>646.49810478585846</v>
      </c>
      <c r="M1230" s="692">
        <v>60</v>
      </c>
      <c r="N1230" s="667">
        <f t="shared" si="112"/>
        <v>608.33316666666667</v>
      </c>
      <c r="O1230" s="647">
        <f t="shared" ca="1" si="114"/>
        <v>12</v>
      </c>
      <c r="P1230" s="691">
        <v>11463.7</v>
      </c>
      <c r="Q1230" s="667">
        <f t="shared" si="113"/>
        <v>11463.7</v>
      </c>
      <c r="R1230" s="615" t="s">
        <v>4238</v>
      </c>
    </row>
    <row r="1231" spans="2:19" ht="50.1" customHeight="1" x14ac:dyDescent="0.25">
      <c r="B1231" s="688">
        <v>44950</v>
      </c>
      <c r="C1231" s="688">
        <v>45054</v>
      </c>
      <c r="D1231" s="615" t="s">
        <v>4110</v>
      </c>
      <c r="E1231" s="642" t="s">
        <v>4226</v>
      </c>
      <c r="F1231" s="615" t="s">
        <v>4125</v>
      </c>
      <c r="G1231" s="689" t="s">
        <v>18</v>
      </c>
      <c r="H1231" s="617" t="s">
        <v>1445</v>
      </c>
      <c r="I1231" s="615" t="s">
        <v>4107</v>
      </c>
      <c r="J1231" s="618">
        <v>36499.99</v>
      </c>
      <c r="K1231" s="684">
        <v>56.457999999999998</v>
      </c>
      <c r="L1231" s="691">
        <f t="shared" si="111"/>
        <v>646.49810478585846</v>
      </c>
      <c r="M1231" s="692">
        <v>60</v>
      </c>
      <c r="N1231" s="667">
        <f t="shared" si="112"/>
        <v>608.33316666666667</v>
      </c>
      <c r="O1231" s="647">
        <f t="shared" ca="1" si="114"/>
        <v>12</v>
      </c>
      <c r="P1231" s="691">
        <v>11463.7</v>
      </c>
      <c r="Q1231" s="667">
        <f t="shared" si="113"/>
        <v>11463.7</v>
      </c>
      <c r="R1231" s="615" t="s">
        <v>4238</v>
      </c>
    </row>
    <row r="1232" spans="2:19" ht="50.1" customHeight="1" x14ac:dyDescent="0.25">
      <c r="B1232" s="688">
        <v>44950</v>
      </c>
      <c r="C1232" s="688">
        <v>45054</v>
      </c>
      <c r="D1232" s="615" t="s">
        <v>4110</v>
      </c>
      <c r="E1232" s="642" t="s">
        <v>4227</v>
      </c>
      <c r="F1232" s="615" t="s">
        <v>4125</v>
      </c>
      <c r="G1232" s="689" t="s">
        <v>18</v>
      </c>
      <c r="H1232" s="617" t="s">
        <v>1445</v>
      </c>
      <c r="I1232" s="615" t="s">
        <v>4107</v>
      </c>
      <c r="J1232" s="618">
        <v>36499.99</v>
      </c>
      <c r="K1232" s="684">
        <v>56.457999999999998</v>
      </c>
      <c r="L1232" s="691">
        <f t="shared" ref="L1232:L1295" si="115">+J1232/K1232</f>
        <v>646.49810478585846</v>
      </c>
      <c r="M1232" s="692">
        <v>60</v>
      </c>
      <c r="N1232" s="667">
        <f t="shared" si="112"/>
        <v>608.33316666666667</v>
      </c>
      <c r="O1232" s="647">
        <f t="shared" ca="1" si="114"/>
        <v>12</v>
      </c>
      <c r="P1232" s="691">
        <v>11463.7</v>
      </c>
      <c r="Q1232" s="667">
        <f t="shared" si="113"/>
        <v>11463.7</v>
      </c>
      <c r="R1232" s="615" t="s">
        <v>4238</v>
      </c>
    </row>
    <row r="1233" spans="2:18" ht="50.1" customHeight="1" x14ac:dyDescent="0.25">
      <c r="B1233" s="688">
        <v>44950</v>
      </c>
      <c r="C1233" s="688">
        <v>45054</v>
      </c>
      <c r="D1233" s="615" t="s">
        <v>4110</v>
      </c>
      <c r="E1233" s="642" t="s">
        <v>4228</v>
      </c>
      <c r="F1233" s="615" t="s">
        <v>4125</v>
      </c>
      <c r="G1233" s="689" t="s">
        <v>18</v>
      </c>
      <c r="H1233" s="617" t="s">
        <v>1445</v>
      </c>
      <c r="I1233" s="615" t="s">
        <v>4107</v>
      </c>
      <c r="J1233" s="618">
        <v>36499.99</v>
      </c>
      <c r="K1233" s="684">
        <v>56.457999999999998</v>
      </c>
      <c r="L1233" s="691">
        <f t="shared" si="115"/>
        <v>646.49810478585846</v>
      </c>
      <c r="M1233" s="692">
        <v>60</v>
      </c>
      <c r="N1233" s="667">
        <f t="shared" si="112"/>
        <v>608.33316666666667</v>
      </c>
      <c r="O1233" s="647">
        <f t="shared" ca="1" si="114"/>
        <v>12</v>
      </c>
      <c r="P1233" s="691">
        <v>11463.7</v>
      </c>
      <c r="Q1233" s="667">
        <f t="shared" si="113"/>
        <v>11463.7</v>
      </c>
      <c r="R1233" s="615" t="s">
        <v>4238</v>
      </c>
    </row>
    <row r="1234" spans="2:18" ht="50.1" customHeight="1" x14ac:dyDescent="0.25">
      <c r="B1234" s="688">
        <v>44950</v>
      </c>
      <c r="C1234" s="688">
        <v>45054</v>
      </c>
      <c r="D1234" s="615" t="s">
        <v>4110</v>
      </c>
      <c r="E1234" s="642" t="s">
        <v>4229</v>
      </c>
      <c r="F1234" s="615" t="s">
        <v>4125</v>
      </c>
      <c r="G1234" s="689" t="s">
        <v>18</v>
      </c>
      <c r="H1234" s="617" t="s">
        <v>1445</v>
      </c>
      <c r="I1234" s="615" t="s">
        <v>4107</v>
      </c>
      <c r="J1234" s="618">
        <v>36499.99</v>
      </c>
      <c r="K1234" s="684">
        <v>56.457999999999998</v>
      </c>
      <c r="L1234" s="691">
        <f t="shared" si="115"/>
        <v>646.49810478585846</v>
      </c>
      <c r="M1234" s="692">
        <v>60</v>
      </c>
      <c r="N1234" s="667">
        <f t="shared" ref="N1234:N1268" si="116">IF(AND(J1234&lt;&gt;0,M1234&lt;&gt;0),J1234/M1234,0)</f>
        <v>608.33316666666667</v>
      </c>
      <c r="O1234" s="647">
        <f t="shared" ca="1" si="114"/>
        <v>12</v>
      </c>
      <c r="P1234" s="691">
        <v>11463.7</v>
      </c>
      <c r="Q1234" s="667">
        <f t="shared" si="113"/>
        <v>11463.7</v>
      </c>
      <c r="R1234" s="615" t="s">
        <v>4238</v>
      </c>
    </row>
    <row r="1235" spans="2:18" ht="50.1" customHeight="1" x14ac:dyDescent="0.25">
      <c r="B1235" s="688">
        <v>44950</v>
      </c>
      <c r="C1235" s="688">
        <v>45054</v>
      </c>
      <c r="D1235" s="615" t="s">
        <v>4110</v>
      </c>
      <c r="E1235" s="642" t="s">
        <v>4230</v>
      </c>
      <c r="F1235" s="615" t="s">
        <v>4125</v>
      </c>
      <c r="G1235" s="689" t="s">
        <v>18</v>
      </c>
      <c r="H1235" s="617" t="s">
        <v>4105</v>
      </c>
      <c r="I1235" s="615" t="s">
        <v>4103</v>
      </c>
      <c r="J1235" s="618">
        <v>36499.99</v>
      </c>
      <c r="K1235" s="684">
        <v>56.457999999999998</v>
      </c>
      <c r="L1235" s="691">
        <f t="shared" si="115"/>
        <v>646.49810478585846</v>
      </c>
      <c r="M1235" s="692">
        <v>60</v>
      </c>
      <c r="N1235" s="667">
        <f t="shared" si="116"/>
        <v>608.33316666666667</v>
      </c>
      <c r="O1235" s="647">
        <f t="shared" ca="1" si="114"/>
        <v>12</v>
      </c>
      <c r="P1235" s="691">
        <v>11463.7</v>
      </c>
      <c r="Q1235" s="667">
        <f t="shared" si="113"/>
        <v>11463.7</v>
      </c>
      <c r="R1235" s="615" t="s">
        <v>4238</v>
      </c>
    </row>
    <row r="1236" spans="2:18" ht="50.1" customHeight="1" x14ac:dyDescent="0.25">
      <c r="B1236" s="688">
        <v>44950</v>
      </c>
      <c r="C1236" s="688">
        <v>45054</v>
      </c>
      <c r="D1236" s="615" t="s">
        <v>4110</v>
      </c>
      <c r="E1236" s="642" t="s">
        <v>4231</v>
      </c>
      <c r="F1236" s="615" t="s">
        <v>4125</v>
      </c>
      <c r="G1236" s="689" t="s">
        <v>18</v>
      </c>
      <c r="H1236" s="617" t="s">
        <v>4105</v>
      </c>
      <c r="I1236" s="615" t="s">
        <v>4103</v>
      </c>
      <c r="J1236" s="618">
        <v>36499.99</v>
      </c>
      <c r="K1236" s="684">
        <v>56.457999999999998</v>
      </c>
      <c r="L1236" s="691">
        <f t="shared" si="115"/>
        <v>646.49810478585846</v>
      </c>
      <c r="M1236" s="692">
        <v>60</v>
      </c>
      <c r="N1236" s="667">
        <f t="shared" si="116"/>
        <v>608.33316666666667</v>
      </c>
      <c r="O1236" s="647">
        <f t="shared" ca="1" si="114"/>
        <v>12</v>
      </c>
      <c r="P1236" s="691">
        <v>11463.7</v>
      </c>
      <c r="Q1236" s="667">
        <f t="shared" si="113"/>
        <v>11463.7</v>
      </c>
      <c r="R1236" s="615" t="s">
        <v>4238</v>
      </c>
    </row>
    <row r="1237" spans="2:18" ht="50.1" customHeight="1" x14ac:dyDescent="0.25">
      <c r="B1237" s="688">
        <v>44950</v>
      </c>
      <c r="C1237" s="688">
        <v>45054</v>
      </c>
      <c r="D1237" s="615" t="s">
        <v>4110</v>
      </c>
      <c r="E1237" s="642" t="s">
        <v>4232</v>
      </c>
      <c r="F1237" s="615" t="s">
        <v>4125</v>
      </c>
      <c r="G1237" s="689" t="s">
        <v>18</v>
      </c>
      <c r="H1237" s="617" t="s">
        <v>4105</v>
      </c>
      <c r="I1237" s="615" t="s">
        <v>4104</v>
      </c>
      <c r="J1237" s="618">
        <v>36499.99</v>
      </c>
      <c r="K1237" s="684">
        <v>56.457999999999998</v>
      </c>
      <c r="L1237" s="691">
        <f t="shared" si="115"/>
        <v>646.49810478585846</v>
      </c>
      <c r="M1237" s="692">
        <v>60</v>
      </c>
      <c r="N1237" s="667">
        <f t="shared" si="116"/>
        <v>608.33316666666667</v>
      </c>
      <c r="O1237" s="647">
        <f t="shared" ca="1" si="114"/>
        <v>12</v>
      </c>
      <c r="P1237" s="691">
        <v>11463.7</v>
      </c>
      <c r="Q1237" s="667">
        <f t="shared" si="113"/>
        <v>11463.7</v>
      </c>
      <c r="R1237" s="615" t="s">
        <v>4238</v>
      </c>
    </row>
    <row r="1238" spans="2:18" ht="50.1" customHeight="1" x14ac:dyDescent="0.25">
      <c r="B1238" s="688">
        <v>44950</v>
      </c>
      <c r="C1238" s="688">
        <v>45054</v>
      </c>
      <c r="D1238" s="615" t="s">
        <v>4110</v>
      </c>
      <c r="E1238" s="642" t="s">
        <v>4233</v>
      </c>
      <c r="F1238" s="615" t="s">
        <v>4125</v>
      </c>
      <c r="G1238" s="689" t="s">
        <v>18</v>
      </c>
      <c r="H1238" s="617" t="s">
        <v>4105</v>
      </c>
      <c r="I1238" s="615" t="s">
        <v>4104</v>
      </c>
      <c r="J1238" s="618">
        <v>36499.99</v>
      </c>
      <c r="K1238" s="684">
        <v>56.457999999999998</v>
      </c>
      <c r="L1238" s="691">
        <f t="shared" si="115"/>
        <v>646.49810478585846</v>
      </c>
      <c r="M1238" s="692">
        <v>60</v>
      </c>
      <c r="N1238" s="667">
        <f t="shared" si="116"/>
        <v>608.33316666666667</v>
      </c>
      <c r="O1238" s="647">
        <f t="shared" ca="1" si="114"/>
        <v>12</v>
      </c>
      <c r="P1238" s="691">
        <v>11463.7</v>
      </c>
      <c r="Q1238" s="667">
        <f t="shared" si="113"/>
        <v>11463.7</v>
      </c>
      <c r="R1238" s="615" t="s">
        <v>4238</v>
      </c>
    </row>
    <row r="1239" spans="2:18" ht="50.1" customHeight="1" x14ac:dyDescent="0.25">
      <c r="B1239" s="688">
        <v>44950</v>
      </c>
      <c r="C1239" s="688">
        <v>45054</v>
      </c>
      <c r="D1239" s="615" t="s">
        <v>4110</v>
      </c>
      <c r="E1239" s="642" t="s">
        <v>4234</v>
      </c>
      <c r="F1239" s="615" t="s">
        <v>4126</v>
      </c>
      <c r="G1239" s="689" t="s">
        <v>18</v>
      </c>
      <c r="H1239" s="617" t="s">
        <v>1445</v>
      </c>
      <c r="I1239" s="615" t="s">
        <v>4107</v>
      </c>
      <c r="J1239" s="618">
        <v>72500</v>
      </c>
      <c r="K1239" s="684">
        <v>56.457999999999998</v>
      </c>
      <c r="L1239" s="691">
        <f t="shared" si="115"/>
        <v>1284.1404229692869</v>
      </c>
      <c r="M1239" s="692">
        <v>60</v>
      </c>
      <c r="N1239" s="667">
        <f t="shared" si="116"/>
        <v>1208.3333333333333</v>
      </c>
      <c r="O1239" s="647">
        <f t="shared" ca="1" si="114"/>
        <v>12</v>
      </c>
      <c r="P1239" s="691">
        <v>11463.7</v>
      </c>
      <c r="Q1239" s="667">
        <f t="shared" si="113"/>
        <v>11463.7</v>
      </c>
      <c r="R1239" s="615" t="s">
        <v>4238</v>
      </c>
    </row>
    <row r="1240" spans="2:18" ht="50.1" customHeight="1" x14ac:dyDescent="0.25">
      <c r="B1240" s="688">
        <v>44950</v>
      </c>
      <c r="C1240" s="688">
        <v>45054</v>
      </c>
      <c r="D1240" s="615" t="s">
        <v>4110</v>
      </c>
      <c r="E1240" s="642" t="s">
        <v>4235</v>
      </c>
      <c r="F1240" s="615" t="s">
        <v>4126</v>
      </c>
      <c r="G1240" s="689" t="s">
        <v>18</v>
      </c>
      <c r="H1240" s="617" t="s">
        <v>4105</v>
      </c>
      <c r="I1240" s="615" t="s">
        <v>4103</v>
      </c>
      <c r="J1240" s="618">
        <v>72500</v>
      </c>
      <c r="K1240" s="684">
        <v>56.457999999999998</v>
      </c>
      <c r="L1240" s="691">
        <f t="shared" si="115"/>
        <v>1284.1404229692869</v>
      </c>
      <c r="M1240" s="692">
        <v>60</v>
      </c>
      <c r="N1240" s="667">
        <f t="shared" si="116"/>
        <v>1208.3333333333333</v>
      </c>
      <c r="O1240" s="647">
        <f t="shared" ca="1" si="114"/>
        <v>12</v>
      </c>
      <c r="P1240" s="691">
        <v>11463.7</v>
      </c>
      <c r="Q1240" s="667">
        <f t="shared" si="113"/>
        <v>11463.7</v>
      </c>
      <c r="R1240" s="615" t="s">
        <v>4238</v>
      </c>
    </row>
    <row r="1241" spans="2:18" ht="50.1" customHeight="1" x14ac:dyDescent="0.25">
      <c r="B1241" s="688">
        <v>44950</v>
      </c>
      <c r="C1241" s="688">
        <v>45054</v>
      </c>
      <c r="D1241" s="615" t="s">
        <v>4110</v>
      </c>
      <c r="E1241" s="642" t="s">
        <v>4236</v>
      </c>
      <c r="F1241" s="615" t="s">
        <v>4126</v>
      </c>
      <c r="G1241" s="689" t="s">
        <v>18</v>
      </c>
      <c r="H1241" s="617" t="s">
        <v>4105</v>
      </c>
      <c r="I1241" s="615" t="s">
        <v>4104</v>
      </c>
      <c r="J1241" s="618">
        <v>72500</v>
      </c>
      <c r="K1241" s="684">
        <v>56.457999999999998</v>
      </c>
      <c r="L1241" s="691">
        <f t="shared" si="115"/>
        <v>1284.1404229692869</v>
      </c>
      <c r="M1241" s="692">
        <v>60</v>
      </c>
      <c r="N1241" s="667">
        <f t="shared" si="116"/>
        <v>1208.3333333333333</v>
      </c>
      <c r="O1241" s="647">
        <f t="shared" ca="1" si="114"/>
        <v>12</v>
      </c>
      <c r="P1241" s="691">
        <v>11463.7</v>
      </c>
      <c r="Q1241" s="667">
        <f t="shared" si="113"/>
        <v>11463.7</v>
      </c>
      <c r="R1241" s="615" t="s">
        <v>4238</v>
      </c>
    </row>
    <row r="1242" spans="2:18" ht="50.1" customHeight="1" x14ac:dyDescent="0.25">
      <c r="B1242" s="688">
        <v>44950</v>
      </c>
      <c r="C1242" s="688">
        <v>45054</v>
      </c>
      <c r="D1242" s="615" t="s">
        <v>4110</v>
      </c>
      <c r="E1242" s="642" t="s">
        <v>4237</v>
      </c>
      <c r="F1242" s="615" t="s">
        <v>4127</v>
      </c>
      <c r="G1242" s="689" t="s">
        <v>18</v>
      </c>
      <c r="H1242" s="617" t="s">
        <v>1445</v>
      </c>
      <c r="I1242" s="615" t="s">
        <v>4107</v>
      </c>
      <c r="J1242" s="618">
        <v>98000.18</v>
      </c>
      <c r="K1242" s="684">
        <v>56.457999999999998</v>
      </c>
      <c r="L1242" s="691">
        <f t="shared" si="115"/>
        <v>1735.8067944312586</v>
      </c>
      <c r="M1242" s="692">
        <v>60</v>
      </c>
      <c r="N1242" s="667">
        <f t="shared" si="116"/>
        <v>1633.3363333333332</v>
      </c>
      <c r="O1242" s="647">
        <f t="shared" ca="1" si="114"/>
        <v>12</v>
      </c>
      <c r="P1242" s="691">
        <v>11463.7</v>
      </c>
      <c r="Q1242" s="667">
        <f t="shared" si="113"/>
        <v>11463.7</v>
      </c>
      <c r="R1242" s="615" t="s">
        <v>4238</v>
      </c>
    </row>
    <row r="1243" spans="2:18" ht="50.1" customHeight="1" x14ac:dyDescent="0.25">
      <c r="B1243" s="688">
        <v>44950</v>
      </c>
      <c r="C1243" s="688">
        <v>45054</v>
      </c>
      <c r="D1243" s="615" t="s">
        <v>4110</v>
      </c>
      <c r="E1243" s="642" t="s">
        <v>4239</v>
      </c>
      <c r="F1243" s="615" t="s">
        <v>4127</v>
      </c>
      <c r="G1243" s="689" t="s">
        <v>18</v>
      </c>
      <c r="H1243" s="617" t="s">
        <v>4105</v>
      </c>
      <c r="I1243" s="615" t="s">
        <v>4103</v>
      </c>
      <c r="J1243" s="618">
        <v>98000.19</v>
      </c>
      <c r="K1243" s="684">
        <v>56.457999999999998</v>
      </c>
      <c r="L1243" s="691">
        <f t="shared" si="115"/>
        <v>1735.8069715540757</v>
      </c>
      <c r="M1243" s="692">
        <v>60</v>
      </c>
      <c r="N1243" s="667">
        <f t="shared" si="116"/>
        <v>1633.3365000000001</v>
      </c>
      <c r="O1243" s="647">
        <f t="shared" ca="1" si="114"/>
        <v>12</v>
      </c>
      <c r="P1243" s="691">
        <v>11463.7</v>
      </c>
      <c r="Q1243" s="667">
        <f t="shared" si="113"/>
        <v>11463.7</v>
      </c>
      <c r="R1243" s="615" t="s">
        <v>4238</v>
      </c>
    </row>
    <row r="1244" spans="2:18" ht="64.5" customHeight="1" x14ac:dyDescent="0.25">
      <c r="B1244" s="688">
        <v>44950</v>
      </c>
      <c r="C1244" s="688">
        <v>45112</v>
      </c>
      <c r="D1244" s="615" t="s">
        <v>4374</v>
      </c>
      <c r="E1244" s="642" t="s">
        <v>4376</v>
      </c>
      <c r="F1244" s="615" t="s">
        <v>4375</v>
      </c>
      <c r="G1244" s="689" t="s">
        <v>18</v>
      </c>
      <c r="H1244" s="615" t="s">
        <v>925</v>
      </c>
      <c r="I1244" s="643" t="s">
        <v>19</v>
      </c>
      <c r="J1244" s="618">
        <v>26400.07</v>
      </c>
      <c r="K1244" s="684">
        <v>56.457999999999998</v>
      </c>
      <c r="L1244" s="691">
        <f t="shared" si="115"/>
        <v>467.60547663750043</v>
      </c>
      <c r="M1244" s="692">
        <v>60</v>
      </c>
      <c r="N1244" s="667">
        <f t="shared" si="116"/>
        <v>440.00116666666668</v>
      </c>
      <c r="O1244" s="647">
        <f t="shared" ca="1" si="114"/>
        <v>12</v>
      </c>
      <c r="P1244" s="691">
        <v>11463.7</v>
      </c>
      <c r="Q1244" s="667">
        <f t="shared" si="113"/>
        <v>11463.7</v>
      </c>
      <c r="R1244" s="615" t="s">
        <v>4372</v>
      </c>
    </row>
    <row r="1245" spans="2:18" ht="50.1" customHeight="1" x14ac:dyDescent="0.25">
      <c r="B1245" s="688">
        <v>44950</v>
      </c>
      <c r="C1245" s="688">
        <v>45112</v>
      </c>
      <c r="D1245" s="615" t="s">
        <v>4377</v>
      </c>
      <c r="E1245" s="642" t="s">
        <v>4379</v>
      </c>
      <c r="F1245" s="615" t="s">
        <v>4380</v>
      </c>
      <c r="G1245" s="689" t="s">
        <v>18</v>
      </c>
      <c r="H1245" s="615" t="s">
        <v>925</v>
      </c>
      <c r="I1245" s="643" t="s">
        <v>19</v>
      </c>
      <c r="J1245" s="618">
        <v>25000</v>
      </c>
      <c r="K1245" s="684">
        <v>56.457999999999998</v>
      </c>
      <c r="L1245" s="691">
        <f t="shared" si="115"/>
        <v>442.80704240320239</v>
      </c>
      <c r="M1245" s="692">
        <v>60</v>
      </c>
      <c r="N1245" s="667">
        <f t="shared" si="116"/>
        <v>416.66666666666669</v>
      </c>
      <c r="O1245" s="647">
        <f t="shared" ca="1" si="114"/>
        <v>12</v>
      </c>
      <c r="P1245" s="691">
        <v>11463.7</v>
      </c>
      <c r="Q1245" s="667">
        <f t="shared" si="113"/>
        <v>11463.7</v>
      </c>
      <c r="R1245" s="615" t="s">
        <v>4372</v>
      </c>
    </row>
    <row r="1246" spans="2:18" ht="50.1" customHeight="1" x14ac:dyDescent="0.25">
      <c r="B1246" s="688">
        <v>44950</v>
      </c>
      <c r="C1246" s="688">
        <v>45112</v>
      </c>
      <c r="D1246" s="615" t="s">
        <v>4378</v>
      </c>
      <c r="E1246" s="642" t="s">
        <v>4381</v>
      </c>
      <c r="F1246" s="615" t="s">
        <v>4382</v>
      </c>
      <c r="G1246" s="689" t="s">
        <v>18</v>
      </c>
      <c r="H1246" s="615" t="s">
        <v>925</v>
      </c>
      <c r="I1246" s="643" t="s">
        <v>19</v>
      </c>
      <c r="J1246" s="618">
        <v>12000</v>
      </c>
      <c r="K1246" s="684">
        <v>56.457999999999998</v>
      </c>
      <c r="L1246" s="691">
        <f t="shared" si="115"/>
        <v>212.54738035353714</v>
      </c>
      <c r="M1246" s="692">
        <v>60</v>
      </c>
      <c r="N1246" s="667">
        <f t="shared" si="116"/>
        <v>200</v>
      </c>
      <c r="O1246" s="647">
        <f t="shared" ca="1" si="114"/>
        <v>12</v>
      </c>
      <c r="P1246" s="691">
        <v>11463.7</v>
      </c>
      <c r="Q1246" s="667">
        <f t="shared" si="113"/>
        <v>11463.7</v>
      </c>
      <c r="R1246" s="615" t="s">
        <v>4372</v>
      </c>
    </row>
    <row r="1247" spans="2:18" ht="50.1" customHeight="1" x14ac:dyDescent="0.25">
      <c r="B1247" s="688">
        <v>44958</v>
      </c>
      <c r="C1247" s="688">
        <v>45083</v>
      </c>
      <c r="D1247" s="615" t="s">
        <v>4269</v>
      </c>
      <c r="E1247" s="642" t="s">
        <v>4202</v>
      </c>
      <c r="F1247" s="615" t="s">
        <v>4270</v>
      </c>
      <c r="G1247" s="644" t="s">
        <v>4272</v>
      </c>
      <c r="H1247" s="615" t="s">
        <v>4413</v>
      </c>
      <c r="I1247" s="643" t="s">
        <v>4273</v>
      </c>
      <c r="J1247" s="618">
        <v>371146.87</v>
      </c>
      <c r="K1247" s="645">
        <v>56.390900000000002</v>
      </c>
      <c r="L1247" s="691">
        <f t="shared" si="115"/>
        <v>6581.6802001741416</v>
      </c>
      <c r="M1247" s="692">
        <v>60</v>
      </c>
      <c r="N1247" s="667">
        <f t="shared" si="116"/>
        <v>6185.7811666666666</v>
      </c>
      <c r="O1247" s="647">
        <f t="shared" ca="1" si="114"/>
        <v>11</v>
      </c>
      <c r="P1247" s="691">
        <v>11463.7</v>
      </c>
      <c r="Q1247" s="667">
        <f t="shared" si="113"/>
        <v>11463.7</v>
      </c>
      <c r="R1247" s="615" t="s">
        <v>4279</v>
      </c>
    </row>
    <row r="1248" spans="2:18" ht="50.1" customHeight="1" x14ac:dyDescent="0.25">
      <c r="B1248" s="688">
        <v>44958</v>
      </c>
      <c r="C1248" s="688">
        <v>45083</v>
      </c>
      <c r="D1248" s="615" t="s">
        <v>4269</v>
      </c>
      <c r="E1248" s="642" t="s">
        <v>4203</v>
      </c>
      <c r="F1248" s="615" t="s">
        <v>4270</v>
      </c>
      <c r="G1248" s="644" t="s">
        <v>4271</v>
      </c>
      <c r="H1248" s="615" t="s">
        <v>4275</v>
      </c>
      <c r="I1248" s="615" t="s">
        <v>4274</v>
      </c>
      <c r="J1248" s="618">
        <v>371146.88</v>
      </c>
      <c r="K1248" s="645">
        <v>56.390900000000002</v>
      </c>
      <c r="L1248" s="691">
        <f t="shared" si="115"/>
        <v>6581.6803775077187</v>
      </c>
      <c r="M1248" s="692">
        <v>60</v>
      </c>
      <c r="N1248" s="667">
        <f t="shared" si="116"/>
        <v>6185.7813333333334</v>
      </c>
      <c r="O1248" s="647">
        <f t="shared" ca="1" si="114"/>
        <v>11</v>
      </c>
      <c r="P1248" s="691">
        <v>11463.7</v>
      </c>
      <c r="Q1248" s="667">
        <f t="shared" si="113"/>
        <v>11463.7</v>
      </c>
      <c r="R1248" s="615" t="s">
        <v>4279</v>
      </c>
    </row>
    <row r="1249" spans="2:18" ht="68.25" customHeight="1" x14ac:dyDescent="0.25">
      <c r="B1249" s="688">
        <v>44963</v>
      </c>
      <c r="C1249" s="688">
        <v>45054</v>
      </c>
      <c r="D1249" s="651" t="s">
        <v>4240</v>
      </c>
      <c r="E1249" s="615" t="s">
        <v>4241</v>
      </c>
      <c r="F1249" s="615" t="s">
        <v>4246</v>
      </c>
      <c r="G1249" s="615" t="s">
        <v>4446</v>
      </c>
      <c r="H1249" s="615" t="s">
        <v>4287</v>
      </c>
      <c r="I1249" s="615" t="s">
        <v>4285</v>
      </c>
      <c r="J1249" s="618">
        <v>1595943</v>
      </c>
      <c r="K1249" s="645">
        <v>56.063699999999997</v>
      </c>
      <c r="L1249" s="691">
        <f t="shared" si="115"/>
        <v>28466.601383783091</v>
      </c>
      <c r="M1249" s="692">
        <v>60</v>
      </c>
      <c r="N1249" s="667">
        <f t="shared" si="116"/>
        <v>26599.05</v>
      </c>
      <c r="O1249" s="647">
        <f t="shared" ca="1" si="114"/>
        <v>11</v>
      </c>
      <c r="P1249" s="691">
        <v>11463.7</v>
      </c>
      <c r="Q1249" s="667">
        <f t="shared" si="113"/>
        <v>11463.7</v>
      </c>
      <c r="R1249" s="615" t="s">
        <v>4278</v>
      </c>
    </row>
    <row r="1250" spans="2:18" ht="75.75" customHeight="1" x14ac:dyDescent="0.25">
      <c r="B1250" s="688">
        <v>44963</v>
      </c>
      <c r="C1250" s="688">
        <v>45054</v>
      </c>
      <c r="D1250" s="651" t="s">
        <v>4240</v>
      </c>
      <c r="E1250" s="615" t="s">
        <v>4242</v>
      </c>
      <c r="F1250" s="615" t="s">
        <v>4246</v>
      </c>
      <c r="G1250" s="615" t="s">
        <v>4447</v>
      </c>
      <c r="H1250" s="646" t="s">
        <v>4412</v>
      </c>
      <c r="I1250" s="615" t="s">
        <v>4097</v>
      </c>
      <c r="J1250" s="618">
        <v>1595943</v>
      </c>
      <c r="K1250" s="645">
        <v>56.063699999999997</v>
      </c>
      <c r="L1250" s="691">
        <f t="shared" si="115"/>
        <v>28466.601383783091</v>
      </c>
      <c r="M1250" s="692">
        <v>60</v>
      </c>
      <c r="N1250" s="667">
        <f t="shared" si="116"/>
        <v>26599.05</v>
      </c>
      <c r="O1250" s="647">
        <f t="shared" ca="1" si="114"/>
        <v>11</v>
      </c>
      <c r="P1250" s="691">
        <v>11463.7</v>
      </c>
      <c r="Q1250" s="667">
        <f t="shared" si="113"/>
        <v>11463.7</v>
      </c>
      <c r="R1250" s="615" t="s">
        <v>4278</v>
      </c>
    </row>
    <row r="1251" spans="2:18" ht="62.25" customHeight="1" x14ac:dyDescent="0.25">
      <c r="B1251" s="688">
        <v>44963</v>
      </c>
      <c r="C1251" s="688">
        <v>45054</v>
      </c>
      <c r="D1251" s="651" t="s">
        <v>4240</v>
      </c>
      <c r="E1251" s="615" t="s">
        <v>4243</v>
      </c>
      <c r="F1251" s="615" t="s">
        <v>4246</v>
      </c>
      <c r="G1251" s="615" t="s">
        <v>4448</v>
      </c>
      <c r="H1251" s="646" t="s">
        <v>4098</v>
      </c>
      <c r="I1251" s="615" t="s">
        <v>4096</v>
      </c>
      <c r="J1251" s="618">
        <v>1595943</v>
      </c>
      <c r="K1251" s="645">
        <v>56.063699999999997</v>
      </c>
      <c r="L1251" s="691">
        <f t="shared" si="115"/>
        <v>28466.601383783091</v>
      </c>
      <c r="M1251" s="692">
        <v>60</v>
      </c>
      <c r="N1251" s="667">
        <f t="shared" si="116"/>
        <v>26599.05</v>
      </c>
      <c r="O1251" s="647">
        <f t="shared" ca="1" si="114"/>
        <v>11</v>
      </c>
      <c r="P1251" s="691">
        <v>11463.7</v>
      </c>
      <c r="Q1251" s="667">
        <f t="shared" si="113"/>
        <v>11463.7</v>
      </c>
      <c r="R1251" s="615" t="s">
        <v>4278</v>
      </c>
    </row>
    <row r="1252" spans="2:18" ht="62.25" customHeight="1" x14ac:dyDescent="0.25">
      <c r="B1252" s="688">
        <v>44963</v>
      </c>
      <c r="C1252" s="688">
        <v>45054</v>
      </c>
      <c r="D1252" s="651" t="s">
        <v>4240</v>
      </c>
      <c r="E1252" s="615" t="s">
        <v>4244</v>
      </c>
      <c r="F1252" s="615" t="s">
        <v>4246</v>
      </c>
      <c r="G1252" s="615" t="s">
        <v>4449</v>
      </c>
      <c r="H1252" s="651" t="s">
        <v>4425</v>
      </c>
      <c r="I1252" s="615" t="s">
        <v>4091</v>
      </c>
      <c r="J1252" s="618">
        <v>1595943</v>
      </c>
      <c r="K1252" s="645">
        <v>56.063699999999997</v>
      </c>
      <c r="L1252" s="691">
        <f t="shared" si="115"/>
        <v>28466.601383783091</v>
      </c>
      <c r="M1252" s="692">
        <v>60</v>
      </c>
      <c r="N1252" s="667">
        <f t="shared" si="116"/>
        <v>26599.05</v>
      </c>
      <c r="O1252" s="647">
        <f t="shared" ca="1" si="114"/>
        <v>11</v>
      </c>
      <c r="P1252" s="691">
        <v>11463.7</v>
      </c>
      <c r="Q1252" s="667">
        <f t="shared" si="113"/>
        <v>11463.7</v>
      </c>
      <c r="R1252" s="615" t="s">
        <v>4278</v>
      </c>
    </row>
    <row r="1253" spans="2:18" ht="63.75" customHeight="1" x14ac:dyDescent="0.25">
      <c r="B1253" s="688">
        <v>44963</v>
      </c>
      <c r="C1253" s="688">
        <v>45054</v>
      </c>
      <c r="D1253" s="651" t="s">
        <v>4240</v>
      </c>
      <c r="E1253" s="615" t="s">
        <v>4245</v>
      </c>
      <c r="F1253" s="615" t="s">
        <v>4246</v>
      </c>
      <c r="G1253" s="615" t="s">
        <v>4450</v>
      </c>
      <c r="H1253" s="646" t="s">
        <v>4414</v>
      </c>
      <c r="I1253" s="615" t="s">
        <v>4286</v>
      </c>
      <c r="J1253" s="618">
        <v>1595942.99</v>
      </c>
      <c r="K1253" s="645">
        <v>56.063699999999997</v>
      </c>
      <c r="L1253" s="691">
        <f t="shared" si="115"/>
        <v>28466.601205414558</v>
      </c>
      <c r="M1253" s="692">
        <v>60</v>
      </c>
      <c r="N1253" s="667">
        <f t="shared" si="116"/>
        <v>26599.049833333334</v>
      </c>
      <c r="O1253" s="647">
        <f t="shared" ca="1" si="114"/>
        <v>11</v>
      </c>
      <c r="P1253" s="691">
        <v>11463.7</v>
      </c>
      <c r="Q1253" s="667">
        <f t="shared" si="113"/>
        <v>11463.7</v>
      </c>
      <c r="R1253" s="615" t="s">
        <v>4278</v>
      </c>
    </row>
    <row r="1254" spans="2:18" ht="50.1" customHeight="1" x14ac:dyDescent="0.25">
      <c r="B1254" s="688">
        <v>44981</v>
      </c>
      <c r="C1254" s="688">
        <v>45083</v>
      </c>
      <c r="D1254" s="651" t="s">
        <v>4276</v>
      </c>
      <c r="E1254" s="615" t="s">
        <v>4204</v>
      </c>
      <c r="F1254" s="615" t="s">
        <v>4270</v>
      </c>
      <c r="G1254" s="643" t="s">
        <v>4277</v>
      </c>
      <c r="H1254" s="615" t="s">
        <v>4275</v>
      </c>
      <c r="I1254" s="615" t="s">
        <v>19</v>
      </c>
      <c r="J1254" s="618">
        <v>355806.875</v>
      </c>
      <c r="K1254" s="645">
        <v>55.364600000000003</v>
      </c>
      <c r="L1254" s="691">
        <f t="shared" si="115"/>
        <v>6426.6133052528148</v>
      </c>
      <c r="M1254" s="692">
        <v>60</v>
      </c>
      <c r="N1254" s="667">
        <f t="shared" si="116"/>
        <v>5930.114583333333</v>
      </c>
      <c r="O1254" s="647">
        <f t="shared" ca="1" si="114"/>
        <v>11</v>
      </c>
      <c r="P1254" s="691">
        <v>11463.7</v>
      </c>
      <c r="Q1254" s="667">
        <f t="shared" si="113"/>
        <v>11463.7</v>
      </c>
      <c r="R1254" s="615" t="s">
        <v>4279</v>
      </c>
    </row>
    <row r="1255" spans="2:18" ht="50.1" customHeight="1" x14ac:dyDescent="0.25">
      <c r="B1255" s="688">
        <v>45026</v>
      </c>
      <c r="C1255" s="688">
        <v>45083</v>
      </c>
      <c r="D1255" s="651" t="s">
        <v>4280</v>
      </c>
      <c r="E1255" s="615" t="s">
        <v>4205</v>
      </c>
      <c r="F1255" s="615" t="s">
        <v>4281</v>
      </c>
      <c r="G1255" s="643" t="s">
        <v>28</v>
      </c>
      <c r="H1255" s="615" t="s">
        <v>2128</v>
      </c>
      <c r="I1255" s="615" t="s">
        <v>19</v>
      </c>
      <c r="J1255" s="618">
        <v>145290.09</v>
      </c>
      <c r="K1255" s="645">
        <v>54.688499999999998</v>
      </c>
      <c r="L1255" s="618">
        <f t="shared" si="115"/>
        <v>2656.6844949120932</v>
      </c>
      <c r="M1255" s="692">
        <v>60</v>
      </c>
      <c r="N1255" s="667">
        <f t="shared" si="116"/>
        <v>2421.5014999999999</v>
      </c>
      <c r="O1255" s="647">
        <f t="shared" ca="1" si="114"/>
        <v>9</v>
      </c>
      <c r="P1255" s="691">
        <v>11463.7</v>
      </c>
      <c r="Q1255" s="667">
        <f t="shared" si="113"/>
        <v>11463.7</v>
      </c>
      <c r="R1255" s="615" t="s">
        <v>4279</v>
      </c>
    </row>
    <row r="1256" spans="2:18" ht="74.25" customHeight="1" x14ac:dyDescent="0.25">
      <c r="B1256" s="688">
        <v>45026</v>
      </c>
      <c r="C1256" s="688">
        <v>45083</v>
      </c>
      <c r="D1256" s="651" t="s">
        <v>4280</v>
      </c>
      <c r="E1256" s="615" t="s">
        <v>4206</v>
      </c>
      <c r="F1256" s="615" t="s">
        <v>4281</v>
      </c>
      <c r="G1256" s="643" t="s">
        <v>28</v>
      </c>
      <c r="H1256" s="615" t="s">
        <v>2128</v>
      </c>
      <c r="I1256" s="615" t="s">
        <v>19</v>
      </c>
      <c r="J1256" s="618">
        <v>145290.09</v>
      </c>
      <c r="K1256" s="645">
        <v>54.688499999999998</v>
      </c>
      <c r="L1256" s="618">
        <f t="shared" si="115"/>
        <v>2656.6844949120932</v>
      </c>
      <c r="M1256" s="692">
        <v>60</v>
      </c>
      <c r="N1256" s="667">
        <f t="shared" si="116"/>
        <v>2421.5014999999999</v>
      </c>
      <c r="O1256" s="647">
        <f t="shared" ca="1" si="114"/>
        <v>9</v>
      </c>
      <c r="P1256" s="691">
        <v>11463.7</v>
      </c>
      <c r="Q1256" s="667">
        <f t="shared" si="113"/>
        <v>11463.7</v>
      </c>
      <c r="R1256" s="615" t="s">
        <v>4279</v>
      </c>
    </row>
    <row r="1257" spans="2:18" ht="74.25" customHeight="1" x14ac:dyDescent="0.25">
      <c r="B1257" s="688">
        <v>45026</v>
      </c>
      <c r="C1257" s="688">
        <v>45083</v>
      </c>
      <c r="D1257" s="651" t="s">
        <v>4280</v>
      </c>
      <c r="E1257" s="615" t="s">
        <v>4207</v>
      </c>
      <c r="F1257" s="615" t="s">
        <v>4281</v>
      </c>
      <c r="G1257" s="643" t="s">
        <v>28</v>
      </c>
      <c r="H1257" s="615" t="s">
        <v>2128</v>
      </c>
      <c r="I1257" s="615" t="s">
        <v>19</v>
      </c>
      <c r="J1257" s="618">
        <v>145290.09</v>
      </c>
      <c r="K1257" s="645">
        <v>54.688499999999998</v>
      </c>
      <c r="L1257" s="618">
        <f t="shared" si="115"/>
        <v>2656.6844949120932</v>
      </c>
      <c r="M1257" s="692">
        <v>60</v>
      </c>
      <c r="N1257" s="667">
        <f t="shared" si="116"/>
        <v>2421.5014999999999</v>
      </c>
      <c r="O1257" s="647">
        <f t="shared" ca="1" si="114"/>
        <v>9</v>
      </c>
      <c r="P1257" s="691">
        <v>11463.7</v>
      </c>
      <c r="Q1257" s="667">
        <f t="shared" si="113"/>
        <v>11463.7</v>
      </c>
      <c r="R1257" s="615" t="s">
        <v>4279</v>
      </c>
    </row>
    <row r="1258" spans="2:18" ht="50.1" customHeight="1" x14ac:dyDescent="0.25">
      <c r="B1258" s="688">
        <v>45026</v>
      </c>
      <c r="C1258" s="688">
        <v>45083</v>
      </c>
      <c r="D1258" s="651" t="s">
        <v>4280</v>
      </c>
      <c r="E1258" s="615" t="s">
        <v>4208</v>
      </c>
      <c r="F1258" s="615" t="s">
        <v>4284</v>
      </c>
      <c r="G1258" s="643" t="s">
        <v>28</v>
      </c>
      <c r="H1258" s="615" t="s">
        <v>2128</v>
      </c>
      <c r="I1258" s="615" t="s">
        <v>19</v>
      </c>
      <c r="J1258" s="618">
        <v>20933.43</v>
      </c>
      <c r="K1258" s="645">
        <v>54.688499999999998</v>
      </c>
      <c r="L1258" s="618">
        <f t="shared" si="115"/>
        <v>382.77572067253629</v>
      </c>
      <c r="M1258" s="692">
        <v>60</v>
      </c>
      <c r="N1258" s="667">
        <f t="shared" si="116"/>
        <v>348.89050000000003</v>
      </c>
      <c r="O1258" s="647">
        <f t="shared" ca="1" si="114"/>
        <v>9</v>
      </c>
      <c r="P1258" s="691">
        <v>11463.7</v>
      </c>
      <c r="Q1258" s="667">
        <f t="shared" si="113"/>
        <v>11463.7</v>
      </c>
      <c r="R1258" s="615" t="s">
        <v>4279</v>
      </c>
    </row>
    <row r="1259" spans="2:18" ht="50.1" customHeight="1" x14ac:dyDescent="0.25">
      <c r="B1259" s="688">
        <v>45026</v>
      </c>
      <c r="C1259" s="688">
        <v>45083</v>
      </c>
      <c r="D1259" s="651" t="s">
        <v>4280</v>
      </c>
      <c r="E1259" s="615" t="s">
        <v>4209</v>
      </c>
      <c r="F1259" s="615" t="s">
        <v>4282</v>
      </c>
      <c r="G1259" s="643" t="s">
        <v>28</v>
      </c>
      <c r="H1259" s="615" t="s">
        <v>2128</v>
      </c>
      <c r="I1259" s="615" t="s">
        <v>19</v>
      </c>
      <c r="J1259" s="618">
        <v>20933.43</v>
      </c>
      <c r="K1259" s="645">
        <v>54.688499999999998</v>
      </c>
      <c r="L1259" s="618">
        <f t="shared" si="115"/>
        <v>382.77572067253629</v>
      </c>
      <c r="M1259" s="692">
        <v>60</v>
      </c>
      <c r="N1259" s="667">
        <f t="shared" si="116"/>
        <v>348.89050000000003</v>
      </c>
      <c r="O1259" s="647">
        <f t="shared" ca="1" si="114"/>
        <v>9</v>
      </c>
      <c r="P1259" s="691">
        <v>11463.7</v>
      </c>
      <c r="Q1259" s="667">
        <f t="shared" si="113"/>
        <v>11463.7</v>
      </c>
      <c r="R1259" s="615" t="s">
        <v>4279</v>
      </c>
    </row>
    <row r="1260" spans="2:18" ht="50.1" customHeight="1" x14ac:dyDescent="0.25">
      <c r="B1260" s="688">
        <v>45026</v>
      </c>
      <c r="C1260" s="688">
        <v>45083</v>
      </c>
      <c r="D1260" s="651" t="s">
        <v>4280</v>
      </c>
      <c r="E1260" s="615" t="s">
        <v>4210</v>
      </c>
      <c r="F1260" s="615" t="s">
        <v>4282</v>
      </c>
      <c r="G1260" s="643" t="s">
        <v>28</v>
      </c>
      <c r="H1260" s="615" t="s">
        <v>2128</v>
      </c>
      <c r="I1260" s="615" t="s">
        <v>19</v>
      </c>
      <c r="J1260" s="618">
        <v>20933.43</v>
      </c>
      <c r="K1260" s="645">
        <v>54.688499999999998</v>
      </c>
      <c r="L1260" s="618">
        <f t="shared" si="115"/>
        <v>382.77572067253629</v>
      </c>
      <c r="M1260" s="692">
        <v>60</v>
      </c>
      <c r="N1260" s="667">
        <f t="shared" si="116"/>
        <v>348.89050000000003</v>
      </c>
      <c r="O1260" s="647">
        <f t="shared" ca="1" si="114"/>
        <v>9</v>
      </c>
      <c r="P1260" s="691">
        <v>11463.7</v>
      </c>
      <c r="Q1260" s="667">
        <f t="shared" si="113"/>
        <v>11463.7</v>
      </c>
      <c r="R1260" s="615" t="s">
        <v>4279</v>
      </c>
    </row>
    <row r="1261" spans="2:18" ht="50.1" customHeight="1" x14ac:dyDescent="0.25">
      <c r="B1261" s="688">
        <v>45026</v>
      </c>
      <c r="C1261" s="688">
        <v>45083</v>
      </c>
      <c r="D1261" s="651" t="s">
        <v>4280</v>
      </c>
      <c r="E1261" s="615" t="s">
        <v>4211</v>
      </c>
      <c r="F1261" s="615" t="s">
        <v>4282</v>
      </c>
      <c r="G1261" s="643" t="s">
        <v>28</v>
      </c>
      <c r="H1261" s="615" t="s">
        <v>2128</v>
      </c>
      <c r="I1261" s="615" t="s">
        <v>19</v>
      </c>
      <c r="J1261" s="618">
        <v>20933.43</v>
      </c>
      <c r="K1261" s="645">
        <v>54.688499999999998</v>
      </c>
      <c r="L1261" s="618">
        <f t="shared" si="115"/>
        <v>382.77572067253629</v>
      </c>
      <c r="M1261" s="692">
        <v>60</v>
      </c>
      <c r="N1261" s="667">
        <f t="shared" si="116"/>
        <v>348.89050000000003</v>
      </c>
      <c r="O1261" s="647">
        <f t="shared" ca="1" si="114"/>
        <v>9</v>
      </c>
      <c r="P1261" s="691">
        <v>11463.7</v>
      </c>
      <c r="Q1261" s="667">
        <f t="shared" si="113"/>
        <v>11463.7</v>
      </c>
      <c r="R1261" s="615" t="s">
        <v>4279</v>
      </c>
    </row>
    <row r="1262" spans="2:18" ht="63" customHeight="1" x14ac:dyDescent="0.25">
      <c r="B1262" s="688">
        <v>45026</v>
      </c>
      <c r="C1262" s="688">
        <v>45083</v>
      </c>
      <c r="D1262" s="651" t="s">
        <v>4280</v>
      </c>
      <c r="E1262" s="615" t="s">
        <v>4212</v>
      </c>
      <c r="F1262" s="615" t="s">
        <v>4283</v>
      </c>
      <c r="G1262" s="643" t="s">
        <v>28</v>
      </c>
      <c r="H1262" s="615" t="s">
        <v>2128</v>
      </c>
      <c r="I1262" s="615" t="s">
        <v>19</v>
      </c>
      <c r="J1262" s="618">
        <v>37894.720000000001</v>
      </c>
      <c r="K1262" s="645">
        <v>54.688499999999998</v>
      </c>
      <c r="L1262" s="618">
        <f t="shared" si="115"/>
        <v>692.91935233184313</v>
      </c>
      <c r="M1262" s="692">
        <v>60</v>
      </c>
      <c r="N1262" s="667">
        <f t="shared" si="116"/>
        <v>631.57866666666666</v>
      </c>
      <c r="O1262" s="647">
        <f t="shared" ca="1" si="114"/>
        <v>9</v>
      </c>
      <c r="P1262" s="691">
        <v>11463.7</v>
      </c>
      <c r="Q1262" s="667">
        <f t="shared" si="113"/>
        <v>11463.7</v>
      </c>
      <c r="R1262" s="615" t="s">
        <v>4279</v>
      </c>
    </row>
    <row r="1263" spans="2:18" ht="63" customHeight="1" x14ac:dyDescent="0.25">
      <c r="B1263" s="688">
        <v>45099</v>
      </c>
      <c r="C1263" s="688">
        <v>45111</v>
      </c>
      <c r="D1263" s="651" t="s">
        <v>4354</v>
      </c>
      <c r="E1263" s="615" t="s">
        <v>4365</v>
      </c>
      <c r="F1263" s="615" t="s">
        <v>4359</v>
      </c>
      <c r="G1263" s="643" t="s">
        <v>4355</v>
      </c>
      <c r="H1263" s="615" t="s">
        <v>4275</v>
      </c>
      <c r="I1263" s="615" t="s">
        <v>19</v>
      </c>
      <c r="J1263" s="618">
        <v>365466.1</v>
      </c>
      <c r="K1263" s="645">
        <v>54.875900000000001</v>
      </c>
      <c r="L1263" s="618">
        <f t="shared" si="115"/>
        <v>6659.8652596130532</v>
      </c>
      <c r="M1263" s="692">
        <v>60</v>
      </c>
      <c r="N1263" s="667">
        <f t="shared" si="116"/>
        <v>6091.1016666666665</v>
      </c>
      <c r="O1263" s="647">
        <f t="shared" ca="1" si="114"/>
        <v>7</v>
      </c>
      <c r="P1263" s="691">
        <v>11463.7</v>
      </c>
      <c r="Q1263" s="667">
        <f t="shared" si="113"/>
        <v>11463.7</v>
      </c>
      <c r="R1263" s="615" t="s">
        <v>4372</v>
      </c>
    </row>
    <row r="1264" spans="2:18" ht="63" customHeight="1" x14ac:dyDescent="0.25">
      <c r="B1264" s="688">
        <v>45099</v>
      </c>
      <c r="C1264" s="688">
        <v>45111</v>
      </c>
      <c r="D1264" s="651" t="s">
        <v>4354</v>
      </c>
      <c r="E1264" s="615" t="s">
        <v>4366</v>
      </c>
      <c r="F1264" s="615" t="s">
        <v>4357</v>
      </c>
      <c r="G1264" s="643" t="s">
        <v>4356</v>
      </c>
      <c r="H1264" s="615" t="s">
        <v>4275</v>
      </c>
      <c r="I1264" s="615" t="s">
        <v>19</v>
      </c>
      <c r="J1264" s="618">
        <v>365466.1</v>
      </c>
      <c r="K1264" s="645">
        <v>54.875900000000001</v>
      </c>
      <c r="L1264" s="618">
        <f t="shared" si="115"/>
        <v>6659.8652596130532</v>
      </c>
      <c r="M1264" s="692">
        <v>60</v>
      </c>
      <c r="N1264" s="667">
        <f t="shared" si="116"/>
        <v>6091.1016666666665</v>
      </c>
      <c r="O1264" s="647">
        <f t="shared" ca="1" si="114"/>
        <v>7</v>
      </c>
      <c r="P1264" s="691">
        <v>11463.7</v>
      </c>
      <c r="Q1264" s="667">
        <f t="shared" si="113"/>
        <v>11463.7</v>
      </c>
      <c r="R1264" s="615" t="s">
        <v>4372</v>
      </c>
    </row>
    <row r="1265" spans="2:18" ht="63" customHeight="1" x14ac:dyDescent="0.25">
      <c r="B1265" s="688">
        <v>45099</v>
      </c>
      <c r="C1265" s="688">
        <v>45111</v>
      </c>
      <c r="D1265" s="651" t="s">
        <v>4354</v>
      </c>
      <c r="E1265" s="615" t="s">
        <v>4367</v>
      </c>
      <c r="F1265" s="615" t="s">
        <v>4357</v>
      </c>
      <c r="G1265" s="643" t="s">
        <v>4358</v>
      </c>
      <c r="H1265" s="615" t="s">
        <v>4275</v>
      </c>
      <c r="I1265" s="615" t="s">
        <v>19</v>
      </c>
      <c r="J1265" s="618">
        <v>365466.1</v>
      </c>
      <c r="K1265" s="645">
        <v>54.875900000000001</v>
      </c>
      <c r="L1265" s="618">
        <f t="shared" si="115"/>
        <v>6659.8652596130532</v>
      </c>
      <c r="M1265" s="692">
        <v>60</v>
      </c>
      <c r="N1265" s="667">
        <f t="shared" si="116"/>
        <v>6091.1016666666665</v>
      </c>
      <c r="O1265" s="647">
        <f t="shared" ca="1" si="114"/>
        <v>7</v>
      </c>
      <c r="P1265" s="691">
        <v>11463.7</v>
      </c>
      <c r="Q1265" s="667">
        <f t="shared" si="113"/>
        <v>11463.7</v>
      </c>
      <c r="R1265" s="615" t="s">
        <v>4372</v>
      </c>
    </row>
    <row r="1266" spans="2:18" ht="63" customHeight="1" x14ac:dyDescent="0.25">
      <c r="B1266" s="688">
        <v>45099</v>
      </c>
      <c r="C1266" s="688">
        <v>45111</v>
      </c>
      <c r="D1266" s="651" t="s">
        <v>4354</v>
      </c>
      <c r="E1266" s="615" t="s">
        <v>4368</v>
      </c>
      <c r="F1266" s="615" t="s">
        <v>4360</v>
      </c>
      <c r="G1266" s="643" t="s">
        <v>4361</v>
      </c>
      <c r="H1266" s="615" t="s">
        <v>4275</v>
      </c>
      <c r="I1266" s="615" t="s">
        <v>19</v>
      </c>
      <c r="J1266" s="618">
        <v>160805.09</v>
      </c>
      <c r="K1266" s="645">
        <v>54.875900000000001</v>
      </c>
      <c r="L1266" s="618">
        <f t="shared" si="115"/>
        <v>2930.3408235673583</v>
      </c>
      <c r="M1266" s="692">
        <v>60</v>
      </c>
      <c r="N1266" s="667">
        <f t="shared" si="116"/>
        <v>2680.0848333333333</v>
      </c>
      <c r="O1266" s="647">
        <f t="shared" ca="1" si="114"/>
        <v>7</v>
      </c>
      <c r="P1266" s="691">
        <v>11463.7</v>
      </c>
      <c r="Q1266" s="667">
        <f t="shared" si="113"/>
        <v>11463.7</v>
      </c>
      <c r="R1266" s="615" t="s">
        <v>4372</v>
      </c>
    </row>
    <row r="1267" spans="2:18" ht="63" customHeight="1" x14ac:dyDescent="0.25">
      <c r="B1267" s="688">
        <v>45099</v>
      </c>
      <c r="C1267" s="688">
        <v>45112</v>
      </c>
      <c r="D1267" s="651" t="s">
        <v>4354</v>
      </c>
      <c r="E1267" s="615" t="s">
        <v>4369</v>
      </c>
      <c r="F1267" s="615" t="s">
        <v>4360</v>
      </c>
      <c r="G1267" s="643" t="s">
        <v>4362</v>
      </c>
      <c r="H1267" s="615" t="s">
        <v>4275</v>
      </c>
      <c r="I1267" s="615" t="s">
        <v>19</v>
      </c>
      <c r="J1267" s="618">
        <v>160805.09</v>
      </c>
      <c r="K1267" s="645">
        <v>54.875900000000001</v>
      </c>
      <c r="L1267" s="618">
        <f t="shared" si="115"/>
        <v>2930.3408235673583</v>
      </c>
      <c r="M1267" s="692">
        <v>60</v>
      </c>
      <c r="N1267" s="667">
        <f t="shared" si="116"/>
        <v>2680.0848333333333</v>
      </c>
      <c r="O1267" s="647">
        <f t="shared" ca="1" si="114"/>
        <v>7</v>
      </c>
      <c r="P1267" s="691">
        <v>11463.7</v>
      </c>
      <c r="Q1267" s="667">
        <f t="shared" si="113"/>
        <v>11463.7</v>
      </c>
      <c r="R1267" s="615" t="s">
        <v>4372</v>
      </c>
    </row>
    <row r="1268" spans="2:18" ht="63" customHeight="1" x14ac:dyDescent="0.25">
      <c r="B1268" s="688">
        <v>45100</v>
      </c>
      <c r="C1268" s="688">
        <v>45112</v>
      </c>
      <c r="D1268" s="651" t="s">
        <v>4354</v>
      </c>
      <c r="E1268" s="615" t="s">
        <v>4370</v>
      </c>
      <c r="F1268" s="615" t="s">
        <v>4373</v>
      </c>
      <c r="G1268" s="643" t="s">
        <v>4363</v>
      </c>
      <c r="H1268" s="615" t="s">
        <v>4275</v>
      </c>
      <c r="I1268" s="615" t="s">
        <v>19</v>
      </c>
      <c r="J1268" s="618">
        <v>209533.89799999999</v>
      </c>
      <c r="K1268" s="645">
        <v>54.875900000000001</v>
      </c>
      <c r="L1268" s="618">
        <f t="shared" si="115"/>
        <v>3818.3227609934411</v>
      </c>
      <c r="M1268" s="692">
        <v>60</v>
      </c>
      <c r="N1268" s="667">
        <f t="shared" si="116"/>
        <v>3492.2316333333333</v>
      </c>
      <c r="O1268" s="647">
        <f t="shared" ca="1" si="114"/>
        <v>7</v>
      </c>
      <c r="P1268" s="691">
        <v>11463.7</v>
      </c>
      <c r="Q1268" s="667">
        <f t="shared" si="113"/>
        <v>11463.7</v>
      </c>
      <c r="R1268" s="615" t="s">
        <v>4372</v>
      </c>
    </row>
    <row r="1269" spans="2:18" ht="63" customHeight="1" x14ac:dyDescent="0.25">
      <c r="B1269" s="688">
        <v>45101</v>
      </c>
      <c r="C1269" s="688">
        <v>45112</v>
      </c>
      <c r="D1269" s="651" t="s">
        <v>4354</v>
      </c>
      <c r="E1269" s="615" t="s">
        <v>4371</v>
      </c>
      <c r="F1269" s="615" t="s">
        <v>4373</v>
      </c>
      <c r="G1269" s="643" t="s">
        <v>4364</v>
      </c>
      <c r="H1269" s="615" t="s">
        <v>4275</v>
      </c>
      <c r="I1269" s="615" t="s">
        <v>19</v>
      </c>
      <c r="J1269" s="618">
        <v>180296.61319999999</v>
      </c>
      <c r="K1269" s="645">
        <v>54.875900000000001</v>
      </c>
      <c r="L1269" s="618">
        <f t="shared" si="115"/>
        <v>3285.5335985377915</v>
      </c>
      <c r="M1269" s="692">
        <v>60</v>
      </c>
      <c r="N1269" s="693">
        <f t="shared" ref="N1269:N1297" si="117">+J1269/M1269</f>
        <v>3004.9435533333331</v>
      </c>
      <c r="O1269" s="647">
        <f t="shared" ca="1" si="114"/>
        <v>7</v>
      </c>
      <c r="P1269" s="691">
        <v>11463.7</v>
      </c>
      <c r="Q1269" s="667">
        <f t="shared" si="113"/>
        <v>11463.7</v>
      </c>
      <c r="R1269" s="615" t="s">
        <v>4372</v>
      </c>
    </row>
    <row r="1270" spans="2:18" ht="63" customHeight="1" x14ac:dyDescent="0.25">
      <c r="B1270" s="688">
        <v>45247</v>
      </c>
      <c r="C1270" s="688">
        <v>45280</v>
      </c>
      <c r="D1270" s="622" t="s">
        <v>4534</v>
      </c>
      <c r="E1270" s="615" t="s">
        <v>4504</v>
      </c>
      <c r="F1270" s="615" t="s">
        <v>4505</v>
      </c>
      <c r="G1270" s="643" t="s">
        <v>4506</v>
      </c>
      <c r="H1270" s="615" t="s">
        <v>4275</v>
      </c>
      <c r="I1270" s="615" t="s">
        <v>19</v>
      </c>
      <c r="J1270" s="618">
        <v>23499.86</v>
      </c>
      <c r="K1270" s="645">
        <v>56.753</v>
      </c>
      <c r="L1270" s="618">
        <f t="shared" si="115"/>
        <v>414.0725600408789</v>
      </c>
      <c r="M1270" s="692">
        <v>60</v>
      </c>
      <c r="N1270" s="693">
        <f t="shared" si="117"/>
        <v>391.66433333333333</v>
      </c>
      <c r="O1270" s="647">
        <f t="shared" ca="1" si="114"/>
        <v>2</v>
      </c>
      <c r="P1270" s="691">
        <v>11463.7</v>
      </c>
      <c r="Q1270" s="667">
        <f t="shared" si="113"/>
        <v>11463.7</v>
      </c>
      <c r="R1270" s="615" t="s">
        <v>4372</v>
      </c>
    </row>
    <row r="1271" spans="2:18" ht="63" customHeight="1" x14ac:dyDescent="0.25">
      <c r="B1271" s="688">
        <v>45247</v>
      </c>
      <c r="C1271" s="688">
        <v>45280</v>
      </c>
      <c r="D1271" s="622" t="s">
        <v>4534</v>
      </c>
      <c r="E1271" s="615" t="s">
        <v>4535</v>
      </c>
      <c r="F1271" s="615" t="s">
        <v>4505</v>
      </c>
      <c r="G1271" s="643" t="s">
        <v>4508</v>
      </c>
      <c r="H1271" s="615" t="s">
        <v>4275</v>
      </c>
      <c r="I1271" s="615" t="s">
        <v>19</v>
      </c>
      <c r="J1271" s="618">
        <v>23500</v>
      </c>
      <c r="K1271" s="645">
        <v>56.753</v>
      </c>
      <c r="L1271" s="618">
        <f t="shared" si="115"/>
        <v>414.07502687082621</v>
      </c>
      <c r="M1271" s="692">
        <v>60</v>
      </c>
      <c r="N1271" s="693">
        <f t="shared" si="117"/>
        <v>391.66666666666669</v>
      </c>
      <c r="O1271" s="647">
        <f t="shared" ca="1" si="114"/>
        <v>2</v>
      </c>
      <c r="P1271" s="691">
        <v>11463.7</v>
      </c>
      <c r="Q1271" s="667">
        <f t="shared" si="113"/>
        <v>11463.7</v>
      </c>
      <c r="R1271" s="615" t="s">
        <v>4372</v>
      </c>
    </row>
    <row r="1272" spans="2:18" ht="63" customHeight="1" x14ac:dyDescent="0.25">
      <c r="B1272" s="688">
        <v>45247</v>
      </c>
      <c r="C1272" s="688">
        <v>45280</v>
      </c>
      <c r="D1272" s="622" t="s">
        <v>4534</v>
      </c>
      <c r="E1272" s="615" t="s">
        <v>4536</v>
      </c>
      <c r="F1272" s="615" t="s">
        <v>4505</v>
      </c>
      <c r="G1272" s="643" t="s">
        <v>4509</v>
      </c>
      <c r="H1272" s="615" t="s">
        <v>4275</v>
      </c>
      <c r="I1272" s="615" t="s">
        <v>19</v>
      </c>
      <c r="J1272" s="618">
        <v>23500</v>
      </c>
      <c r="K1272" s="645">
        <v>56.753</v>
      </c>
      <c r="L1272" s="618">
        <f t="shared" si="115"/>
        <v>414.07502687082621</v>
      </c>
      <c r="M1272" s="692">
        <v>60</v>
      </c>
      <c r="N1272" s="693">
        <f t="shared" si="117"/>
        <v>391.66666666666669</v>
      </c>
      <c r="O1272" s="647">
        <f t="shared" ca="1" si="114"/>
        <v>2</v>
      </c>
      <c r="P1272" s="691">
        <v>11463.7</v>
      </c>
      <c r="Q1272" s="667">
        <f t="shared" si="113"/>
        <v>11463.7</v>
      </c>
      <c r="R1272" s="615" t="s">
        <v>4372</v>
      </c>
    </row>
    <row r="1273" spans="2:18" ht="63" customHeight="1" x14ac:dyDescent="0.25">
      <c r="B1273" s="688">
        <v>45247</v>
      </c>
      <c r="C1273" s="688">
        <v>45280</v>
      </c>
      <c r="D1273" s="622" t="s">
        <v>4534</v>
      </c>
      <c r="E1273" s="615" t="s">
        <v>4537</v>
      </c>
      <c r="F1273" s="615" t="s">
        <v>4505</v>
      </c>
      <c r="G1273" s="643" t="s">
        <v>4510</v>
      </c>
      <c r="H1273" s="615" t="s">
        <v>4275</v>
      </c>
      <c r="I1273" s="615" t="s">
        <v>19</v>
      </c>
      <c r="J1273" s="618">
        <v>23500</v>
      </c>
      <c r="K1273" s="645">
        <v>56.753</v>
      </c>
      <c r="L1273" s="618">
        <f t="shared" si="115"/>
        <v>414.07502687082621</v>
      </c>
      <c r="M1273" s="692">
        <v>60</v>
      </c>
      <c r="N1273" s="693">
        <f t="shared" si="117"/>
        <v>391.66666666666669</v>
      </c>
      <c r="O1273" s="647">
        <f t="shared" ca="1" si="114"/>
        <v>2</v>
      </c>
      <c r="P1273" s="691">
        <v>11463.7</v>
      </c>
      <c r="Q1273" s="667">
        <f t="shared" si="113"/>
        <v>11463.7</v>
      </c>
      <c r="R1273" s="615" t="s">
        <v>4372</v>
      </c>
    </row>
    <row r="1274" spans="2:18" ht="63" customHeight="1" x14ac:dyDescent="0.25">
      <c r="B1274" s="688">
        <v>45247</v>
      </c>
      <c r="C1274" s="688">
        <v>45280</v>
      </c>
      <c r="D1274" s="622" t="s">
        <v>4534</v>
      </c>
      <c r="E1274" s="615" t="s">
        <v>4538</v>
      </c>
      <c r="F1274" s="615" t="s">
        <v>4505</v>
      </c>
      <c r="G1274" s="643" t="s">
        <v>4511</v>
      </c>
      <c r="H1274" s="615" t="s">
        <v>4275</v>
      </c>
      <c r="I1274" s="615" t="s">
        <v>19</v>
      </c>
      <c r="J1274" s="618">
        <v>23500</v>
      </c>
      <c r="K1274" s="645">
        <v>56.753</v>
      </c>
      <c r="L1274" s="618">
        <f t="shared" si="115"/>
        <v>414.07502687082621</v>
      </c>
      <c r="M1274" s="692">
        <v>60</v>
      </c>
      <c r="N1274" s="693">
        <f t="shared" si="117"/>
        <v>391.66666666666669</v>
      </c>
      <c r="O1274" s="647">
        <f t="shared" ca="1" si="114"/>
        <v>2</v>
      </c>
      <c r="P1274" s="691">
        <v>11463.7</v>
      </c>
      <c r="Q1274" s="667">
        <f t="shared" si="113"/>
        <v>11463.7</v>
      </c>
      <c r="R1274" s="615" t="s">
        <v>4372</v>
      </c>
    </row>
    <row r="1275" spans="2:18" ht="63" customHeight="1" x14ac:dyDescent="0.25">
      <c r="B1275" s="688">
        <v>45247</v>
      </c>
      <c r="C1275" s="688">
        <v>45280</v>
      </c>
      <c r="D1275" s="622" t="s">
        <v>4534</v>
      </c>
      <c r="E1275" s="615" t="s">
        <v>4539</v>
      </c>
      <c r="F1275" s="615" t="s">
        <v>4505</v>
      </c>
      <c r="G1275" s="643" t="s">
        <v>4512</v>
      </c>
      <c r="H1275" s="615" t="s">
        <v>4275</v>
      </c>
      <c r="I1275" s="615" t="s">
        <v>19</v>
      </c>
      <c r="J1275" s="618">
        <v>23500</v>
      </c>
      <c r="K1275" s="645">
        <v>56.753</v>
      </c>
      <c r="L1275" s="618">
        <f t="shared" si="115"/>
        <v>414.07502687082621</v>
      </c>
      <c r="M1275" s="692">
        <v>60</v>
      </c>
      <c r="N1275" s="693">
        <f t="shared" si="117"/>
        <v>391.66666666666669</v>
      </c>
      <c r="O1275" s="647">
        <f t="shared" ca="1" si="114"/>
        <v>2</v>
      </c>
      <c r="P1275" s="691">
        <v>11463.7</v>
      </c>
      <c r="Q1275" s="667">
        <f t="shared" si="113"/>
        <v>11463.7</v>
      </c>
      <c r="R1275" s="615" t="s">
        <v>4372</v>
      </c>
    </row>
    <row r="1276" spans="2:18" ht="63" customHeight="1" x14ac:dyDescent="0.25">
      <c r="B1276" s="688">
        <v>45247</v>
      </c>
      <c r="C1276" s="688">
        <v>45280</v>
      </c>
      <c r="D1276" s="622" t="s">
        <v>4534</v>
      </c>
      <c r="E1276" s="615" t="s">
        <v>4540</v>
      </c>
      <c r="F1276" s="615" t="s">
        <v>4505</v>
      </c>
      <c r="G1276" s="643" t="s">
        <v>4513</v>
      </c>
      <c r="H1276" s="615" t="s">
        <v>4275</v>
      </c>
      <c r="I1276" s="615" t="s">
        <v>19</v>
      </c>
      <c r="J1276" s="618">
        <v>23500</v>
      </c>
      <c r="K1276" s="645">
        <v>56.753</v>
      </c>
      <c r="L1276" s="618">
        <f t="shared" si="115"/>
        <v>414.07502687082621</v>
      </c>
      <c r="M1276" s="692">
        <v>60</v>
      </c>
      <c r="N1276" s="693">
        <f t="shared" si="117"/>
        <v>391.66666666666669</v>
      </c>
      <c r="O1276" s="647">
        <f t="shared" ca="1" si="114"/>
        <v>2</v>
      </c>
      <c r="P1276" s="691">
        <v>11463.7</v>
      </c>
      <c r="Q1276" s="667">
        <f t="shared" si="113"/>
        <v>11463.7</v>
      </c>
      <c r="R1276" s="615" t="s">
        <v>4372</v>
      </c>
    </row>
    <row r="1277" spans="2:18" ht="63" customHeight="1" x14ac:dyDescent="0.25">
      <c r="B1277" s="688">
        <v>45247</v>
      </c>
      <c r="C1277" s="688">
        <v>45280</v>
      </c>
      <c r="D1277" s="622" t="s">
        <v>4534</v>
      </c>
      <c r="E1277" s="615" t="s">
        <v>4541</v>
      </c>
      <c r="F1277" s="615" t="s">
        <v>4505</v>
      </c>
      <c r="G1277" s="643" t="s">
        <v>4514</v>
      </c>
      <c r="H1277" s="615" t="s">
        <v>4275</v>
      </c>
      <c r="I1277" s="615" t="s">
        <v>19</v>
      </c>
      <c r="J1277" s="618">
        <v>23500</v>
      </c>
      <c r="K1277" s="645">
        <v>56.753</v>
      </c>
      <c r="L1277" s="618">
        <f t="shared" si="115"/>
        <v>414.07502687082621</v>
      </c>
      <c r="M1277" s="692">
        <v>60</v>
      </c>
      <c r="N1277" s="693">
        <f t="shared" si="117"/>
        <v>391.66666666666669</v>
      </c>
      <c r="O1277" s="647">
        <f t="shared" ca="1" si="114"/>
        <v>2</v>
      </c>
      <c r="P1277" s="691">
        <v>11463.7</v>
      </c>
      <c r="Q1277" s="667">
        <f t="shared" si="113"/>
        <v>11463.7</v>
      </c>
      <c r="R1277" s="615" t="s">
        <v>4372</v>
      </c>
    </row>
    <row r="1278" spans="2:18" ht="63" customHeight="1" x14ac:dyDescent="0.25">
      <c r="B1278" s="688">
        <v>45247</v>
      </c>
      <c r="C1278" s="688">
        <v>45280</v>
      </c>
      <c r="D1278" s="622" t="s">
        <v>4534</v>
      </c>
      <c r="E1278" s="615" t="s">
        <v>4542</v>
      </c>
      <c r="F1278" s="615" t="s">
        <v>4505</v>
      </c>
      <c r="G1278" s="643" t="s">
        <v>4507</v>
      </c>
      <c r="H1278" s="615" t="s">
        <v>4275</v>
      </c>
      <c r="I1278" s="615" t="s">
        <v>19</v>
      </c>
      <c r="J1278" s="618">
        <v>23500</v>
      </c>
      <c r="K1278" s="645">
        <v>56.753</v>
      </c>
      <c r="L1278" s="618">
        <f t="shared" si="115"/>
        <v>414.07502687082621</v>
      </c>
      <c r="M1278" s="692">
        <v>60</v>
      </c>
      <c r="N1278" s="693">
        <f t="shared" si="117"/>
        <v>391.66666666666669</v>
      </c>
      <c r="O1278" s="647">
        <f t="shared" ca="1" si="114"/>
        <v>2</v>
      </c>
      <c r="P1278" s="691">
        <v>11463.7</v>
      </c>
      <c r="Q1278" s="667">
        <f t="shared" si="113"/>
        <v>11463.7</v>
      </c>
      <c r="R1278" s="615" t="s">
        <v>4372</v>
      </c>
    </row>
    <row r="1279" spans="2:18" ht="63" customHeight="1" x14ac:dyDescent="0.25">
      <c r="B1279" s="688">
        <v>45247</v>
      </c>
      <c r="C1279" s="688">
        <v>45280</v>
      </c>
      <c r="D1279" s="622" t="s">
        <v>4534</v>
      </c>
      <c r="E1279" s="615" t="s">
        <v>4543</v>
      </c>
      <c r="F1279" s="615" t="s">
        <v>4505</v>
      </c>
      <c r="G1279" s="643" t="s">
        <v>4515</v>
      </c>
      <c r="H1279" s="615" t="s">
        <v>4275</v>
      </c>
      <c r="I1279" s="615" t="s">
        <v>19</v>
      </c>
      <c r="J1279" s="618">
        <v>23500</v>
      </c>
      <c r="K1279" s="645">
        <v>56.753</v>
      </c>
      <c r="L1279" s="618">
        <f t="shared" si="115"/>
        <v>414.07502687082621</v>
      </c>
      <c r="M1279" s="692">
        <v>60</v>
      </c>
      <c r="N1279" s="693">
        <f t="shared" si="117"/>
        <v>391.66666666666669</v>
      </c>
      <c r="O1279" s="647">
        <f t="shared" ca="1" si="114"/>
        <v>2</v>
      </c>
      <c r="P1279" s="691">
        <v>11463.7</v>
      </c>
      <c r="Q1279" s="667">
        <f t="shared" si="113"/>
        <v>11463.7</v>
      </c>
      <c r="R1279" s="615" t="s">
        <v>4372</v>
      </c>
    </row>
    <row r="1280" spans="2:18" ht="63" customHeight="1" x14ac:dyDescent="0.25">
      <c r="B1280" s="688">
        <v>45247</v>
      </c>
      <c r="C1280" s="688">
        <v>45280</v>
      </c>
      <c r="D1280" s="622" t="s">
        <v>4534</v>
      </c>
      <c r="E1280" s="615" t="s">
        <v>4544</v>
      </c>
      <c r="F1280" s="615" t="s">
        <v>4505</v>
      </c>
      <c r="G1280" s="643" t="s">
        <v>4516</v>
      </c>
      <c r="H1280" s="615" t="s">
        <v>4275</v>
      </c>
      <c r="I1280" s="615" t="s">
        <v>19</v>
      </c>
      <c r="J1280" s="618">
        <v>23500</v>
      </c>
      <c r="K1280" s="645">
        <v>56.753</v>
      </c>
      <c r="L1280" s="618">
        <f t="shared" si="115"/>
        <v>414.07502687082621</v>
      </c>
      <c r="M1280" s="692">
        <v>60</v>
      </c>
      <c r="N1280" s="693">
        <f t="shared" si="117"/>
        <v>391.66666666666669</v>
      </c>
      <c r="O1280" s="647">
        <f t="shared" ca="1" si="114"/>
        <v>2</v>
      </c>
      <c r="P1280" s="691">
        <v>11463.7</v>
      </c>
      <c r="Q1280" s="667">
        <f t="shared" si="113"/>
        <v>11463.7</v>
      </c>
      <c r="R1280" s="615" t="s">
        <v>4372</v>
      </c>
    </row>
    <row r="1281" spans="2:18" ht="63" customHeight="1" x14ac:dyDescent="0.25">
      <c r="B1281" s="688">
        <v>45247</v>
      </c>
      <c r="C1281" s="688">
        <v>45280</v>
      </c>
      <c r="D1281" s="622" t="s">
        <v>4534</v>
      </c>
      <c r="E1281" s="615" t="s">
        <v>4545</v>
      </c>
      <c r="F1281" s="615" t="s">
        <v>4505</v>
      </c>
      <c r="G1281" s="643" t="s">
        <v>4517</v>
      </c>
      <c r="H1281" s="615" t="s">
        <v>4275</v>
      </c>
      <c r="I1281" s="615" t="s">
        <v>19</v>
      </c>
      <c r="J1281" s="618">
        <v>23500</v>
      </c>
      <c r="K1281" s="645">
        <v>56.753</v>
      </c>
      <c r="L1281" s="618">
        <f t="shared" si="115"/>
        <v>414.07502687082621</v>
      </c>
      <c r="M1281" s="692">
        <v>60</v>
      </c>
      <c r="N1281" s="693">
        <f t="shared" si="117"/>
        <v>391.66666666666669</v>
      </c>
      <c r="O1281" s="647">
        <f t="shared" ca="1" si="114"/>
        <v>2</v>
      </c>
      <c r="P1281" s="691">
        <v>11463.7</v>
      </c>
      <c r="Q1281" s="667">
        <f t="shared" si="113"/>
        <v>11463.7</v>
      </c>
      <c r="R1281" s="615" t="s">
        <v>4372</v>
      </c>
    </row>
    <row r="1282" spans="2:18" ht="63" customHeight="1" x14ac:dyDescent="0.25">
      <c r="B1282" s="688">
        <v>45247</v>
      </c>
      <c r="C1282" s="688">
        <v>45280</v>
      </c>
      <c r="D1282" s="622" t="s">
        <v>4534</v>
      </c>
      <c r="E1282" s="615" t="s">
        <v>4546</v>
      </c>
      <c r="F1282" s="615" t="s">
        <v>4505</v>
      </c>
      <c r="G1282" s="643" t="s">
        <v>4518</v>
      </c>
      <c r="H1282" s="615" t="s">
        <v>4275</v>
      </c>
      <c r="I1282" s="615" t="s">
        <v>19</v>
      </c>
      <c r="J1282" s="618">
        <v>23500</v>
      </c>
      <c r="K1282" s="645">
        <v>56.753</v>
      </c>
      <c r="L1282" s="618">
        <f t="shared" si="115"/>
        <v>414.07502687082621</v>
      </c>
      <c r="M1282" s="692">
        <v>60</v>
      </c>
      <c r="N1282" s="693">
        <f t="shared" si="117"/>
        <v>391.66666666666669</v>
      </c>
      <c r="O1282" s="647">
        <f t="shared" ca="1" si="114"/>
        <v>2</v>
      </c>
      <c r="P1282" s="691">
        <v>11463.7</v>
      </c>
      <c r="Q1282" s="667">
        <f t="shared" si="113"/>
        <v>11463.7</v>
      </c>
      <c r="R1282" s="615" t="s">
        <v>4372</v>
      </c>
    </row>
    <row r="1283" spans="2:18" ht="63" customHeight="1" x14ac:dyDescent="0.25">
      <c r="B1283" s="688">
        <v>45247</v>
      </c>
      <c r="C1283" s="688">
        <v>45280</v>
      </c>
      <c r="D1283" s="622" t="s">
        <v>4534</v>
      </c>
      <c r="E1283" s="615" t="s">
        <v>4547</v>
      </c>
      <c r="F1283" s="615" t="s">
        <v>4505</v>
      </c>
      <c r="G1283" s="643" t="s">
        <v>4519</v>
      </c>
      <c r="H1283" s="615" t="s">
        <v>4275</v>
      </c>
      <c r="I1283" s="615" t="s">
        <v>19</v>
      </c>
      <c r="J1283" s="618">
        <v>23500</v>
      </c>
      <c r="K1283" s="645">
        <v>56.753</v>
      </c>
      <c r="L1283" s="618">
        <f t="shared" si="115"/>
        <v>414.07502687082621</v>
      </c>
      <c r="M1283" s="692">
        <v>60</v>
      </c>
      <c r="N1283" s="693">
        <f t="shared" si="117"/>
        <v>391.66666666666669</v>
      </c>
      <c r="O1283" s="647">
        <f t="shared" ca="1" si="114"/>
        <v>2</v>
      </c>
      <c r="P1283" s="691">
        <v>11463.7</v>
      </c>
      <c r="Q1283" s="667">
        <f t="shared" si="113"/>
        <v>11463.7</v>
      </c>
      <c r="R1283" s="615" t="s">
        <v>4372</v>
      </c>
    </row>
    <row r="1284" spans="2:18" ht="63" customHeight="1" x14ac:dyDescent="0.25">
      <c r="B1284" s="688">
        <v>45247</v>
      </c>
      <c r="C1284" s="688">
        <v>45280</v>
      </c>
      <c r="D1284" s="622" t="s">
        <v>4534</v>
      </c>
      <c r="E1284" s="615" t="s">
        <v>4548</v>
      </c>
      <c r="F1284" s="615" t="s">
        <v>4505</v>
      </c>
      <c r="G1284" s="643" t="s">
        <v>4520</v>
      </c>
      <c r="H1284" s="615" t="s">
        <v>4275</v>
      </c>
      <c r="I1284" s="615" t="s">
        <v>19</v>
      </c>
      <c r="J1284" s="618">
        <v>23500</v>
      </c>
      <c r="K1284" s="645">
        <v>56.753</v>
      </c>
      <c r="L1284" s="618">
        <f t="shared" si="115"/>
        <v>414.07502687082621</v>
      </c>
      <c r="M1284" s="692">
        <v>60</v>
      </c>
      <c r="N1284" s="693">
        <f t="shared" si="117"/>
        <v>391.66666666666669</v>
      </c>
      <c r="O1284" s="647">
        <f t="shared" ca="1" si="114"/>
        <v>2</v>
      </c>
      <c r="P1284" s="691">
        <v>11463.7</v>
      </c>
      <c r="Q1284" s="667">
        <f t="shared" si="113"/>
        <v>11463.7</v>
      </c>
      <c r="R1284" s="615" t="s">
        <v>4372</v>
      </c>
    </row>
    <row r="1285" spans="2:18" ht="63" customHeight="1" x14ac:dyDescent="0.25">
      <c r="B1285" s="688">
        <v>45247</v>
      </c>
      <c r="C1285" s="688">
        <v>45280</v>
      </c>
      <c r="D1285" s="622" t="s">
        <v>4534</v>
      </c>
      <c r="E1285" s="615" t="s">
        <v>4549</v>
      </c>
      <c r="F1285" s="615" t="s">
        <v>4505</v>
      </c>
      <c r="G1285" s="643" t="s">
        <v>4521</v>
      </c>
      <c r="H1285" s="615" t="s">
        <v>4275</v>
      </c>
      <c r="I1285" s="615" t="s">
        <v>19</v>
      </c>
      <c r="J1285" s="618">
        <v>23500</v>
      </c>
      <c r="K1285" s="645">
        <v>56.753</v>
      </c>
      <c r="L1285" s="618">
        <f t="shared" si="115"/>
        <v>414.07502687082621</v>
      </c>
      <c r="M1285" s="692">
        <v>60</v>
      </c>
      <c r="N1285" s="693">
        <f t="shared" si="117"/>
        <v>391.66666666666669</v>
      </c>
      <c r="O1285" s="647">
        <f t="shared" ca="1" si="114"/>
        <v>2</v>
      </c>
      <c r="P1285" s="691">
        <v>11463.7</v>
      </c>
      <c r="Q1285" s="667">
        <f t="shared" si="113"/>
        <v>11463.7</v>
      </c>
      <c r="R1285" s="615" t="s">
        <v>4372</v>
      </c>
    </row>
    <row r="1286" spans="2:18" ht="63" customHeight="1" x14ac:dyDescent="0.25">
      <c r="B1286" s="688">
        <v>45247</v>
      </c>
      <c r="C1286" s="688">
        <v>45280</v>
      </c>
      <c r="D1286" s="622" t="s">
        <v>4534</v>
      </c>
      <c r="E1286" s="615" t="s">
        <v>4550</v>
      </c>
      <c r="F1286" s="615" t="s">
        <v>4505</v>
      </c>
      <c r="G1286" s="643" t="s">
        <v>4522</v>
      </c>
      <c r="H1286" s="615" t="s">
        <v>4275</v>
      </c>
      <c r="I1286" s="615" t="s">
        <v>19</v>
      </c>
      <c r="J1286" s="618">
        <v>23500</v>
      </c>
      <c r="K1286" s="645">
        <v>56.753</v>
      </c>
      <c r="L1286" s="618">
        <f t="shared" si="115"/>
        <v>414.07502687082621</v>
      </c>
      <c r="M1286" s="692">
        <v>60</v>
      </c>
      <c r="N1286" s="693">
        <f t="shared" si="117"/>
        <v>391.66666666666669</v>
      </c>
      <c r="O1286" s="647">
        <f t="shared" ca="1" si="114"/>
        <v>2</v>
      </c>
      <c r="P1286" s="691">
        <v>11463.7</v>
      </c>
      <c r="Q1286" s="667">
        <f t="shared" si="113"/>
        <v>11463.7</v>
      </c>
      <c r="R1286" s="615" t="s">
        <v>4372</v>
      </c>
    </row>
    <row r="1287" spans="2:18" ht="63" customHeight="1" x14ac:dyDescent="0.25">
      <c r="B1287" s="688">
        <v>45247</v>
      </c>
      <c r="C1287" s="688">
        <v>45280</v>
      </c>
      <c r="D1287" s="622" t="s">
        <v>4534</v>
      </c>
      <c r="E1287" s="615" t="s">
        <v>4551</v>
      </c>
      <c r="F1287" s="615" t="s">
        <v>4505</v>
      </c>
      <c r="G1287" s="643" t="s">
        <v>4523</v>
      </c>
      <c r="H1287" s="615" t="s">
        <v>4275</v>
      </c>
      <c r="I1287" s="615" t="s">
        <v>19</v>
      </c>
      <c r="J1287" s="618">
        <v>23500</v>
      </c>
      <c r="K1287" s="645">
        <v>56.753</v>
      </c>
      <c r="L1287" s="618">
        <f t="shared" si="115"/>
        <v>414.07502687082621</v>
      </c>
      <c r="M1287" s="692">
        <v>60</v>
      </c>
      <c r="N1287" s="693">
        <f t="shared" si="117"/>
        <v>391.66666666666669</v>
      </c>
      <c r="O1287" s="647">
        <f t="shared" ca="1" si="114"/>
        <v>2</v>
      </c>
      <c r="P1287" s="691">
        <v>11463.7</v>
      </c>
      <c r="Q1287" s="667">
        <f t="shared" si="113"/>
        <v>11463.7</v>
      </c>
      <c r="R1287" s="615" t="s">
        <v>4372</v>
      </c>
    </row>
    <row r="1288" spans="2:18" ht="63" customHeight="1" x14ac:dyDescent="0.25">
      <c r="B1288" s="688">
        <v>45247</v>
      </c>
      <c r="C1288" s="688">
        <v>45280</v>
      </c>
      <c r="D1288" s="622" t="s">
        <v>4534</v>
      </c>
      <c r="E1288" s="615" t="s">
        <v>4552</v>
      </c>
      <c r="F1288" s="615" t="s">
        <v>4505</v>
      </c>
      <c r="G1288" s="643" t="s">
        <v>4524</v>
      </c>
      <c r="H1288" s="615" t="s">
        <v>4275</v>
      </c>
      <c r="I1288" s="615" t="s">
        <v>19</v>
      </c>
      <c r="J1288" s="618">
        <v>23500</v>
      </c>
      <c r="K1288" s="645">
        <v>56.753</v>
      </c>
      <c r="L1288" s="618">
        <f t="shared" si="115"/>
        <v>414.07502687082621</v>
      </c>
      <c r="M1288" s="692">
        <v>60</v>
      </c>
      <c r="N1288" s="693">
        <f t="shared" si="117"/>
        <v>391.66666666666669</v>
      </c>
      <c r="O1288" s="647">
        <f t="shared" ca="1" si="114"/>
        <v>2</v>
      </c>
      <c r="P1288" s="691">
        <v>11463.7</v>
      </c>
      <c r="Q1288" s="667">
        <f t="shared" ref="Q1288:Q1297" si="118">IF(P1288&lt;1,1,P1288)</f>
        <v>11463.7</v>
      </c>
      <c r="R1288" s="615" t="s">
        <v>4372</v>
      </c>
    </row>
    <row r="1289" spans="2:18" ht="63" customHeight="1" x14ac:dyDescent="0.25">
      <c r="B1289" s="688">
        <v>45247</v>
      </c>
      <c r="C1289" s="688">
        <v>45280</v>
      </c>
      <c r="D1289" s="622" t="s">
        <v>4534</v>
      </c>
      <c r="E1289" s="615" t="s">
        <v>4553</v>
      </c>
      <c r="F1289" s="615" t="s">
        <v>4505</v>
      </c>
      <c r="G1289" s="643" t="s">
        <v>4525</v>
      </c>
      <c r="H1289" s="615" t="s">
        <v>4275</v>
      </c>
      <c r="I1289" s="615" t="s">
        <v>19</v>
      </c>
      <c r="J1289" s="618">
        <v>23500</v>
      </c>
      <c r="K1289" s="645">
        <v>56.753</v>
      </c>
      <c r="L1289" s="618">
        <f t="shared" si="115"/>
        <v>414.07502687082621</v>
      </c>
      <c r="M1289" s="692">
        <v>60</v>
      </c>
      <c r="N1289" s="693">
        <f t="shared" si="117"/>
        <v>391.66666666666669</v>
      </c>
      <c r="O1289" s="647">
        <f t="shared" ca="1" si="114"/>
        <v>2</v>
      </c>
      <c r="P1289" s="691">
        <v>11463.7</v>
      </c>
      <c r="Q1289" s="667">
        <f t="shared" si="118"/>
        <v>11463.7</v>
      </c>
      <c r="R1289" s="615" t="s">
        <v>4372</v>
      </c>
    </row>
    <row r="1290" spans="2:18" ht="63" customHeight="1" x14ac:dyDescent="0.25">
      <c r="B1290" s="688">
        <v>45247</v>
      </c>
      <c r="C1290" s="688">
        <v>45280</v>
      </c>
      <c r="D1290" s="622" t="s">
        <v>4534</v>
      </c>
      <c r="E1290" s="615" t="s">
        <v>4554</v>
      </c>
      <c r="F1290" s="615" t="s">
        <v>4505</v>
      </c>
      <c r="G1290" s="643" t="s">
        <v>4526</v>
      </c>
      <c r="H1290" s="615" t="s">
        <v>4275</v>
      </c>
      <c r="I1290" s="615" t="s">
        <v>19</v>
      </c>
      <c r="J1290" s="618">
        <v>23500</v>
      </c>
      <c r="K1290" s="645">
        <v>56.753</v>
      </c>
      <c r="L1290" s="618">
        <f t="shared" si="115"/>
        <v>414.07502687082621</v>
      </c>
      <c r="M1290" s="692">
        <v>60</v>
      </c>
      <c r="N1290" s="693">
        <f t="shared" si="117"/>
        <v>391.66666666666669</v>
      </c>
      <c r="O1290" s="647">
        <f t="shared" ca="1" si="114"/>
        <v>2</v>
      </c>
      <c r="P1290" s="691">
        <v>11463.7</v>
      </c>
      <c r="Q1290" s="667">
        <f t="shared" si="118"/>
        <v>11463.7</v>
      </c>
      <c r="R1290" s="615" t="s">
        <v>4372</v>
      </c>
    </row>
    <row r="1291" spans="2:18" ht="63" customHeight="1" x14ac:dyDescent="0.25">
      <c r="B1291" s="688">
        <v>45247</v>
      </c>
      <c r="C1291" s="688">
        <v>45280</v>
      </c>
      <c r="D1291" s="622" t="s">
        <v>4534</v>
      </c>
      <c r="E1291" s="615" t="s">
        <v>4555</v>
      </c>
      <c r="F1291" s="615" t="s">
        <v>4505</v>
      </c>
      <c r="G1291" s="643" t="s">
        <v>4527</v>
      </c>
      <c r="H1291" s="615" t="s">
        <v>4275</v>
      </c>
      <c r="I1291" s="615" t="s">
        <v>19</v>
      </c>
      <c r="J1291" s="618">
        <v>23500</v>
      </c>
      <c r="K1291" s="645">
        <v>56.753</v>
      </c>
      <c r="L1291" s="618">
        <f t="shared" si="115"/>
        <v>414.07502687082621</v>
      </c>
      <c r="M1291" s="692">
        <v>60</v>
      </c>
      <c r="N1291" s="693">
        <f t="shared" si="117"/>
        <v>391.66666666666669</v>
      </c>
      <c r="O1291" s="647">
        <f t="shared" ca="1" si="114"/>
        <v>2</v>
      </c>
      <c r="P1291" s="691">
        <v>11463.7</v>
      </c>
      <c r="Q1291" s="667">
        <f t="shared" si="118"/>
        <v>11463.7</v>
      </c>
      <c r="R1291" s="615" t="s">
        <v>4372</v>
      </c>
    </row>
    <row r="1292" spans="2:18" ht="63" customHeight="1" x14ac:dyDescent="0.25">
      <c r="B1292" s="688">
        <v>45247</v>
      </c>
      <c r="C1292" s="688">
        <v>45280</v>
      </c>
      <c r="D1292" s="622" t="s">
        <v>4534</v>
      </c>
      <c r="E1292" s="615" t="s">
        <v>4556</v>
      </c>
      <c r="F1292" s="615" t="s">
        <v>4505</v>
      </c>
      <c r="G1292" s="643" t="s">
        <v>4528</v>
      </c>
      <c r="H1292" s="615" t="s">
        <v>4275</v>
      </c>
      <c r="I1292" s="615" t="s">
        <v>19</v>
      </c>
      <c r="J1292" s="618">
        <v>23500</v>
      </c>
      <c r="K1292" s="645">
        <v>56.753</v>
      </c>
      <c r="L1292" s="618">
        <f t="shared" si="115"/>
        <v>414.07502687082621</v>
      </c>
      <c r="M1292" s="692">
        <v>60</v>
      </c>
      <c r="N1292" s="693">
        <f t="shared" si="117"/>
        <v>391.66666666666669</v>
      </c>
      <c r="O1292" s="647">
        <f t="shared" ca="1" si="114"/>
        <v>2</v>
      </c>
      <c r="P1292" s="691">
        <v>11463.7</v>
      </c>
      <c r="Q1292" s="667">
        <f t="shared" si="118"/>
        <v>11463.7</v>
      </c>
      <c r="R1292" s="615" t="s">
        <v>4372</v>
      </c>
    </row>
    <row r="1293" spans="2:18" ht="63" customHeight="1" x14ac:dyDescent="0.25">
      <c r="B1293" s="688">
        <v>45247</v>
      </c>
      <c r="C1293" s="688">
        <v>45280</v>
      </c>
      <c r="D1293" s="622" t="s">
        <v>4534</v>
      </c>
      <c r="E1293" s="615" t="s">
        <v>4557</v>
      </c>
      <c r="F1293" s="615" t="s">
        <v>4505</v>
      </c>
      <c r="G1293" s="643" t="s">
        <v>4529</v>
      </c>
      <c r="H1293" s="615" t="s">
        <v>4275</v>
      </c>
      <c r="I1293" s="615" t="s">
        <v>19</v>
      </c>
      <c r="J1293" s="618">
        <v>23500</v>
      </c>
      <c r="K1293" s="645">
        <v>56.753</v>
      </c>
      <c r="L1293" s="618">
        <f t="shared" si="115"/>
        <v>414.07502687082621</v>
      </c>
      <c r="M1293" s="692">
        <v>60</v>
      </c>
      <c r="N1293" s="693">
        <f t="shared" si="117"/>
        <v>391.66666666666669</v>
      </c>
      <c r="O1293" s="647">
        <f ca="1">IF(B1293&lt;&gt;0,(ROUND((NOW()-B1293)/30,0)),0)</f>
        <v>2</v>
      </c>
      <c r="P1293" s="691">
        <v>11463.7</v>
      </c>
      <c r="Q1293" s="667">
        <f t="shared" si="118"/>
        <v>11463.7</v>
      </c>
      <c r="R1293" s="615" t="s">
        <v>4372</v>
      </c>
    </row>
    <row r="1294" spans="2:18" ht="63" customHeight="1" x14ac:dyDescent="0.25">
      <c r="B1294" s="688">
        <v>45247</v>
      </c>
      <c r="C1294" s="688">
        <v>45280</v>
      </c>
      <c r="D1294" s="622" t="s">
        <v>4534</v>
      </c>
      <c r="E1294" s="615" t="s">
        <v>4558</v>
      </c>
      <c r="F1294" s="615" t="s">
        <v>4505</v>
      </c>
      <c r="G1294" s="643" t="s">
        <v>4530</v>
      </c>
      <c r="H1294" s="615" t="s">
        <v>4275</v>
      </c>
      <c r="I1294" s="615" t="s">
        <v>19</v>
      </c>
      <c r="J1294" s="618">
        <v>23500</v>
      </c>
      <c r="K1294" s="645">
        <v>56.753</v>
      </c>
      <c r="L1294" s="618">
        <f t="shared" si="115"/>
        <v>414.07502687082621</v>
      </c>
      <c r="M1294" s="692">
        <v>60</v>
      </c>
      <c r="N1294" s="693">
        <f t="shared" si="117"/>
        <v>391.66666666666669</v>
      </c>
      <c r="O1294" s="647">
        <f ca="1">IF(B1294&lt;&gt;0,(ROUND((NOW()-B1294)/30,0)),0)</f>
        <v>2</v>
      </c>
      <c r="P1294" s="691">
        <v>11463.7</v>
      </c>
      <c r="Q1294" s="667">
        <f t="shared" si="118"/>
        <v>11463.7</v>
      </c>
      <c r="R1294" s="615" t="s">
        <v>4372</v>
      </c>
    </row>
    <row r="1295" spans="2:18" ht="63" customHeight="1" x14ac:dyDescent="0.25">
      <c r="B1295" s="688">
        <v>45247</v>
      </c>
      <c r="C1295" s="688">
        <v>45280</v>
      </c>
      <c r="D1295" s="622" t="s">
        <v>4534</v>
      </c>
      <c r="E1295" s="615" t="s">
        <v>4559</v>
      </c>
      <c r="F1295" s="615" t="s">
        <v>4505</v>
      </c>
      <c r="G1295" s="643" t="s">
        <v>4531</v>
      </c>
      <c r="H1295" s="615" t="s">
        <v>4275</v>
      </c>
      <c r="I1295" s="615" t="s">
        <v>19</v>
      </c>
      <c r="J1295" s="618">
        <v>23500</v>
      </c>
      <c r="K1295" s="645">
        <v>56.753</v>
      </c>
      <c r="L1295" s="618">
        <f t="shared" si="115"/>
        <v>414.07502687082621</v>
      </c>
      <c r="M1295" s="692">
        <v>60</v>
      </c>
      <c r="N1295" s="693">
        <f t="shared" si="117"/>
        <v>391.66666666666669</v>
      </c>
      <c r="O1295" s="647">
        <f ca="1">IF(B1295&lt;&gt;0,(ROUND((NOW()-B1295)/30,0)),0)</f>
        <v>2</v>
      </c>
      <c r="P1295" s="691">
        <v>11463.7</v>
      </c>
      <c r="Q1295" s="667">
        <f t="shared" si="118"/>
        <v>11463.7</v>
      </c>
      <c r="R1295" s="615" t="s">
        <v>4372</v>
      </c>
    </row>
    <row r="1296" spans="2:18" ht="63" customHeight="1" x14ac:dyDescent="0.25">
      <c r="B1296" s="688">
        <v>45247</v>
      </c>
      <c r="C1296" s="688">
        <v>45280</v>
      </c>
      <c r="D1296" s="622" t="s">
        <v>4534</v>
      </c>
      <c r="E1296" s="615" t="s">
        <v>4560</v>
      </c>
      <c r="F1296" s="615" t="s">
        <v>4505</v>
      </c>
      <c r="G1296" s="643" t="s">
        <v>4532</v>
      </c>
      <c r="H1296" s="615" t="s">
        <v>4275</v>
      </c>
      <c r="I1296" s="615" t="s">
        <v>19</v>
      </c>
      <c r="J1296" s="618">
        <v>23500</v>
      </c>
      <c r="K1296" s="645">
        <v>56.753</v>
      </c>
      <c r="L1296" s="618">
        <f>+J1296/K1296</f>
        <v>414.07502687082621</v>
      </c>
      <c r="M1296" s="692">
        <v>60</v>
      </c>
      <c r="N1296" s="693">
        <f t="shared" si="117"/>
        <v>391.66666666666669</v>
      </c>
      <c r="O1296" s="647">
        <f ca="1">IF(B1296&lt;&gt;0,(ROUND((NOW()-B1296)/30,0)),0)</f>
        <v>2</v>
      </c>
      <c r="P1296" s="691">
        <v>11463.7</v>
      </c>
      <c r="Q1296" s="667">
        <f t="shared" si="118"/>
        <v>11463.7</v>
      </c>
      <c r="R1296" s="615" t="s">
        <v>4372</v>
      </c>
    </row>
    <row r="1297" spans="2:18" ht="63" customHeight="1" x14ac:dyDescent="0.25">
      <c r="B1297" s="688">
        <v>45247</v>
      </c>
      <c r="C1297" s="688">
        <v>45280</v>
      </c>
      <c r="D1297" s="622" t="s">
        <v>4534</v>
      </c>
      <c r="E1297" s="615" t="s">
        <v>4561</v>
      </c>
      <c r="F1297" s="615" t="s">
        <v>4505</v>
      </c>
      <c r="G1297" s="643" t="s">
        <v>4533</v>
      </c>
      <c r="H1297" s="615" t="s">
        <v>4275</v>
      </c>
      <c r="I1297" s="615" t="s">
        <v>19</v>
      </c>
      <c r="J1297" s="618">
        <v>23500</v>
      </c>
      <c r="K1297" s="645">
        <v>56.753</v>
      </c>
      <c r="L1297" s="618">
        <f>+J1297/K1297</f>
        <v>414.07502687082621</v>
      </c>
      <c r="M1297" s="692">
        <v>60</v>
      </c>
      <c r="N1297" s="693">
        <f t="shared" si="117"/>
        <v>391.66666666666669</v>
      </c>
      <c r="O1297" s="647">
        <f ca="1">IF(B1297&lt;&gt;0,(ROUND((NOW()-B1297)/30,0)),0)</f>
        <v>2</v>
      </c>
      <c r="P1297" s="691">
        <v>11463.7</v>
      </c>
      <c r="Q1297" s="667">
        <f t="shared" si="118"/>
        <v>11463.7</v>
      </c>
      <c r="R1297" s="615" t="s">
        <v>4372</v>
      </c>
    </row>
    <row r="1298" spans="2:18" ht="34.5" customHeight="1" thickBot="1" x14ac:dyDescent="0.3">
      <c r="C1298" s="504"/>
      <c r="E1298" s="619"/>
      <c r="F1298" s="836" t="s">
        <v>2334</v>
      </c>
      <c r="G1298" s="836"/>
      <c r="H1298" s="836"/>
      <c r="I1298" s="836"/>
      <c r="J1298" s="456">
        <f>SUM(J8:J1297)</f>
        <v>66215275.828588024</v>
      </c>
      <c r="K1298" s="457"/>
      <c r="L1298" s="456">
        <f>SUM(L8:L1297)</f>
        <v>1412997.5649804135</v>
      </c>
      <c r="M1298" s="458"/>
      <c r="N1298" s="488"/>
      <c r="O1298" s="459"/>
      <c r="P1298" s="460">
        <f ca="1">SUM(P8:P1156)</f>
        <v>-19529498.35633526</v>
      </c>
      <c r="Q1298" s="456">
        <f ca="1">SUM(Q8:Q1297)</f>
        <v>13096830.875416476</v>
      </c>
    </row>
    <row r="1299" spans="2:18" ht="15" customHeight="1" thickTop="1" x14ac:dyDescent="0.25">
      <c r="B1299" s="505"/>
      <c r="C1299" s="505"/>
      <c r="D1299" s="439"/>
      <c r="E1299" s="439"/>
      <c r="P1299" s="489"/>
      <c r="Q1299" s="490"/>
    </row>
    <row r="1300" spans="2:18" x14ac:dyDescent="0.25">
      <c r="B1300" s="505"/>
      <c r="C1300" s="505"/>
      <c r="D1300" s="439"/>
      <c r="E1300" s="439"/>
    </row>
    <row r="1301" spans="2:18" x14ac:dyDescent="0.25">
      <c r="B1301" s="505"/>
      <c r="C1301" s="505"/>
      <c r="D1301" s="439"/>
      <c r="E1301" s="439"/>
    </row>
    <row r="1302" spans="2:18" x14ac:dyDescent="0.25">
      <c r="B1302" s="505"/>
      <c r="C1302" s="505"/>
      <c r="D1302" s="439"/>
      <c r="E1302" s="439"/>
    </row>
    <row r="1303" spans="2:18" ht="15.75" thickBot="1" x14ac:dyDescent="0.3">
      <c r="B1303" s="505"/>
      <c r="C1303" s="505"/>
      <c r="D1303" s="439"/>
      <c r="E1303" s="439"/>
    </row>
    <row r="1304" spans="2:18" ht="15.75" thickBot="1" x14ac:dyDescent="0.3">
      <c r="B1304" s="505"/>
      <c r="C1304" s="505"/>
      <c r="D1304" s="439"/>
      <c r="E1304" s="439"/>
      <c r="F1304" s="837" t="s">
        <v>2335</v>
      </c>
      <c r="G1304" s="837"/>
      <c r="H1304" s="838"/>
    </row>
    <row r="1305" spans="2:18" ht="39.75" thickBot="1" x14ac:dyDescent="0.3">
      <c r="B1305" s="505"/>
      <c r="C1305" s="505"/>
      <c r="D1305" s="439"/>
      <c r="E1305" s="439"/>
      <c r="F1305" s="781"/>
      <c r="G1305" s="782" t="s">
        <v>2336</v>
      </c>
      <c r="H1305" s="782" t="s">
        <v>2337</v>
      </c>
    </row>
    <row r="1306" spans="2:18" ht="16.5" thickBot="1" x14ac:dyDescent="0.3">
      <c r="B1306" s="505"/>
      <c r="C1306" s="505"/>
      <c r="D1306" s="439"/>
      <c r="E1306" s="439"/>
      <c r="F1306" s="783" t="s">
        <v>2338</v>
      </c>
      <c r="G1306" s="784">
        <f>SUM(J8:J11)</f>
        <v>18220.800000000003</v>
      </c>
      <c r="H1306" s="785">
        <f>SUM(L8:L11)</f>
        <v>611.72509424028647</v>
      </c>
      <c r="I1306" s="442"/>
    </row>
    <row r="1307" spans="2:18" ht="16.5" thickBot="1" x14ac:dyDescent="0.3">
      <c r="B1307" s="505"/>
      <c r="C1307" s="505"/>
      <c r="D1307" s="439"/>
      <c r="E1307" s="443"/>
      <c r="F1307" s="786" t="s">
        <v>2339</v>
      </c>
      <c r="G1307" s="787">
        <f>SUM(J12:J119)</f>
        <v>5552247.0519999862</v>
      </c>
      <c r="H1307" s="788">
        <f>SUM(L12:L119)</f>
        <v>163950.64475411124</v>
      </c>
      <c r="I1307" s="442"/>
    </row>
    <row r="1308" spans="2:18" ht="16.5" thickBot="1" x14ac:dyDescent="0.3">
      <c r="F1308" s="789" t="s">
        <v>2340</v>
      </c>
      <c r="G1308" s="790">
        <f>SUM(J120:J128)</f>
        <v>105369.2</v>
      </c>
      <c r="H1308" s="788">
        <f>SUM(L120:L128)</f>
        <v>3221.0804765340858</v>
      </c>
      <c r="I1308" s="442"/>
    </row>
    <row r="1309" spans="2:18" ht="16.5" thickBot="1" x14ac:dyDescent="0.3">
      <c r="F1309" s="791" t="s">
        <v>2341</v>
      </c>
      <c r="G1309" s="792">
        <f>SUM(J129:J213)</f>
        <v>1181882.22</v>
      </c>
      <c r="H1309" s="788">
        <f>SUM(L129:L213)</f>
        <v>34602.706800274136</v>
      </c>
    </row>
    <row r="1310" spans="2:18" ht="16.5" thickBot="1" x14ac:dyDescent="0.3">
      <c r="F1310" s="789" t="s">
        <v>2342</v>
      </c>
      <c r="G1310" s="793">
        <f>SUM(J214:J405)</f>
        <v>1407128.2409848254</v>
      </c>
      <c r="H1310" s="794">
        <f>SUM(L214:L405)</f>
        <v>39190.207552238382</v>
      </c>
      <c r="I1310" s="770" t="s">
        <v>4932</v>
      </c>
      <c r="J1310" s="771"/>
    </row>
    <row r="1311" spans="2:18" ht="16.5" thickBot="1" x14ac:dyDescent="0.3">
      <c r="B1311" s="506"/>
      <c r="C1311" s="506"/>
      <c r="D1311" s="137"/>
      <c r="F1311" s="791" t="s">
        <v>2343</v>
      </c>
      <c r="G1311" s="795">
        <f>SUM(J406:J435)</f>
        <v>2089134.0800000001</v>
      </c>
      <c r="H1311" s="794">
        <f>SUM(L406:L435)</f>
        <v>56788.106978074225</v>
      </c>
      <c r="I1311" s="772"/>
      <c r="J1311" s="772"/>
    </row>
    <row r="1312" spans="2:18" ht="16.5" thickBot="1" x14ac:dyDescent="0.3">
      <c r="B1312" s="506"/>
      <c r="C1312" s="506"/>
      <c r="F1312" s="791" t="s">
        <v>2344</v>
      </c>
      <c r="G1312" s="796">
        <f>SUM(J436:J456)</f>
        <v>3941417.079403</v>
      </c>
      <c r="H1312" s="797">
        <f>SUM(L436:L456)</f>
        <v>103791.31575681352</v>
      </c>
      <c r="I1312" s="772"/>
      <c r="J1312" s="772"/>
    </row>
    <row r="1313" spans="6:18" ht="16.5" thickBot="1" x14ac:dyDescent="0.3">
      <c r="F1313" s="798" t="s">
        <v>2345</v>
      </c>
      <c r="G1313" s="796">
        <f>SUM(J457:J477)</f>
        <v>524953.29</v>
      </c>
      <c r="H1313" s="788">
        <f>SUM(L457:L477)</f>
        <v>13452.886245446449</v>
      </c>
      <c r="I1313" s="773" t="s">
        <v>4933</v>
      </c>
      <c r="J1313" s="774"/>
      <c r="K1313" s="135"/>
      <c r="L1313" s="135"/>
      <c r="M1313" s="461"/>
      <c r="N1313" s="461"/>
      <c r="O1313" s="135"/>
      <c r="P1313" s="125"/>
      <c r="R1313" s="70"/>
    </row>
    <row r="1314" spans="6:18" ht="16.5" thickBot="1" x14ac:dyDescent="0.3">
      <c r="F1314" s="791" t="s">
        <v>2346</v>
      </c>
      <c r="G1314" s="796">
        <f>SUM(J478:J551)</f>
        <v>3433505.2700000037</v>
      </c>
      <c r="H1314" s="788">
        <f>SUM(L478:L551)</f>
        <v>82851.562007480417</v>
      </c>
      <c r="I1314" s="775"/>
      <c r="J1314" s="776" t="s">
        <v>2347</v>
      </c>
      <c r="K1314" s="462"/>
      <c r="L1314" s="462"/>
    </row>
    <row r="1315" spans="6:18" ht="16.5" thickBot="1" x14ac:dyDescent="0.3">
      <c r="F1315" s="791" t="s">
        <v>2348</v>
      </c>
      <c r="G1315" s="796">
        <f>SUM(J552:J571)</f>
        <v>106689.03</v>
      </c>
      <c r="H1315" s="788">
        <f>SUM(L552:L571)</f>
        <v>2471.5889853687036</v>
      </c>
      <c r="I1315" s="777"/>
      <c r="J1315" s="772"/>
    </row>
    <row r="1316" spans="6:18" ht="16.5" thickBot="1" x14ac:dyDescent="0.3">
      <c r="F1316" s="791" t="s">
        <v>2349</v>
      </c>
      <c r="G1316" s="796">
        <f>SUM(J572:J642)</f>
        <v>8391675.6199999992</v>
      </c>
      <c r="H1316" s="788">
        <f>SUM(L572:L642)</f>
        <v>187267.41251758873</v>
      </c>
      <c r="I1316" s="778" t="s">
        <v>4934</v>
      </c>
      <c r="J1316" s="775"/>
    </row>
    <row r="1317" spans="6:18" ht="16.5" thickBot="1" x14ac:dyDescent="0.3">
      <c r="F1317" s="791" t="s">
        <v>2350</v>
      </c>
      <c r="G1317" s="799" t="s">
        <v>2351</v>
      </c>
      <c r="H1317" s="800" t="s">
        <v>2351</v>
      </c>
      <c r="I1317" s="779" t="s">
        <v>2352</v>
      </c>
      <c r="J1317" s="772"/>
    </row>
    <row r="1318" spans="6:18" ht="16.5" thickBot="1" x14ac:dyDescent="0.3">
      <c r="F1318" s="791" t="s">
        <v>2353</v>
      </c>
      <c r="G1318" s="801">
        <f>SUM(J643:J669)</f>
        <v>1016951.5800000003</v>
      </c>
      <c r="H1318" s="795">
        <f>SUM(L643:L669)</f>
        <v>21458.984270990502</v>
      </c>
      <c r="I1318" s="780"/>
      <c r="J1318" s="772"/>
    </row>
    <row r="1319" spans="6:18" ht="15.75" thickBot="1" x14ac:dyDescent="0.3">
      <c r="F1319" s="791" t="s">
        <v>2354</v>
      </c>
      <c r="G1319" s="796">
        <f>SUM(J670:J784)</f>
        <v>3593453.89</v>
      </c>
      <c r="H1319" s="801">
        <f>SUM(L670:L784)</f>
        <v>71682.273794491499</v>
      </c>
      <c r="I1319" s="442"/>
    </row>
    <row r="1320" spans="6:18" ht="15.75" thickBot="1" x14ac:dyDescent="0.3">
      <c r="F1320" s="791" t="s">
        <v>2355</v>
      </c>
      <c r="G1320" s="796">
        <f>SUM(J785:J817)</f>
        <v>2520162</v>
      </c>
      <c r="H1320" s="801">
        <f>SUM(L785:L817)</f>
        <v>49493.148773278881</v>
      </c>
      <c r="I1320" s="442"/>
      <c r="L1320" s="137"/>
    </row>
    <row r="1321" spans="6:18" ht="15.75" thickBot="1" x14ac:dyDescent="0.3">
      <c r="F1321" s="802" t="s">
        <v>2356</v>
      </c>
      <c r="G1321" s="796">
        <f>SUM(J818:J843)</f>
        <v>638478.49</v>
      </c>
      <c r="H1321" s="796">
        <f>SUM(L818:L843)</f>
        <v>11683.490206294608</v>
      </c>
      <c r="I1321" s="442"/>
    </row>
    <row r="1322" spans="6:18" ht="15.75" thickBot="1" x14ac:dyDescent="0.3">
      <c r="F1322" s="791" t="s">
        <v>2357</v>
      </c>
      <c r="G1322" s="796">
        <f>SUM(J844:J845)</f>
        <v>6371099.2000000002</v>
      </c>
      <c r="H1322" s="795">
        <f>SUM(L844:L845)</f>
        <v>112823.32295018389</v>
      </c>
      <c r="I1322" s="442"/>
    </row>
    <row r="1323" spans="6:18" ht="21" customHeight="1" thickBot="1" x14ac:dyDescent="0.3">
      <c r="F1323" s="791" t="s">
        <v>2358</v>
      </c>
      <c r="G1323" s="801">
        <f>SUM(J846:J1156)</f>
        <v>9894918.3499999736</v>
      </c>
      <c r="H1323" s="801">
        <f>SUM(L846:L1156)</f>
        <v>182075.61890948395</v>
      </c>
      <c r="I1323" s="442"/>
    </row>
    <row r="1324" spans="6:18" ht="21" customHeight="1" thickBot="1" x14ac:dyDescent="0.3">
      <c r="F1324" s="803" t="s">
        <v>4343</v>
      </c>
      <c r="G1324" s="804">
        <f>SUM(J1157:J1297)</f>
        <v>15427990.436200002</v>
      </c>
      <c r="H1324" s="804">
        <f>SUM(L1157:L1297)</f>
        <v>275581.48890751455</v>
      </c>
    </row>
    <row r="1325" spans="6:18" ht="21.75" customHeight="1" thickBot="1" x14ac:dyDescent="0.3">
      <c r="F1325" s="805" t="s">
        <v>2359</v>
      </c>
      <c r="G1325" s="806">
        <f>SUM(G1306:G1324)</f>
        <v>66215275.828587793</v>
      </c>
      <c r="H1325" s="807">
        <f>SUM(H1306:H1324)</f>
        <v>1412997.5649804082</v>
      </c>
      <c r="I1325" s="442"/>
    </row>
    <row r="1326" spans="6:18" x14ac:dyDescent="0.25">
      <c r="F1326" s="444"/>
      <c r="G1326" s="444"/>
      <c r="H1326" s="444"/>
    </row>
    <row r="1327" spans="6:18" x14ac:dyDescent="0.25">
      <c r="K1327" s="417"/>
    </row>
    <row r="1329" spans="2:15" x14ac:dyDescent="0.25">
      <c r="B1329" s="507" t="s">
        <v>4930</v>
      </c>
      <c r="C1329" s="507"/>
    </row>
    <row r="1331" spans="2:15" x14ac:dyDescent="0.25">
      <c r="B1331" s="508" t="s">
        <v>2360</v>
      </c>
      <c r="C1331" s="508"/>
      <c r="F1331" s="839" t="s">
        <v>2361</v>
      </c>
      <c r="G1331" s="839"/>
      <c r="H1331" s="840" t="s">
        <v>2362</v>
      </c>
      <c r="I1331" s="840"/>
      <c r="J1331" s="840"/>
      <c r="K1331" s="840"/>
      <c r="L1331" s="156"/>
      <c r="M1331" s="156"/>
      <c r="N1331" s="156"/>
      <c r="O1331" s="156"/>
    </row>
    <row r="1332" spans="2:15" x14ac:dyDescent="0.25">
      <c r="B1332" s="509"/>
      <c r="C1332" s="509"/>
      <c r="F1332" s="445"/>
      <c r="G1332" s="445"/>
      <c r="H1332" s="1"/>
      <c r="I1332" s="1"/>
      <c r="J1332" s="1"/>
      <c r="K1332" s="90"/>
      <c r="L1332" s="148"/>
      <c r="M1332" s="148"/>
      <c r="N1332" s="148"/>
      <c r="O1332" s="148"/>
    </row>
    <row r="1333" spans="2:15" x14ac:dyDescent="0.25">
      <c r="F1333" s="446"/>
      <c r="H1333" s="1"/>
      <c r="I1333" s="1"/>
      <c r="J1333" s="1"/>
      <c r="K1333" s="90"/>
      <c r="L1333" s="148"/>
      <c r="M1333" s="148"/>
      <c r="N1333" s="148"/>
      <c r="O1333" s="148"/>
    </row>
    <row r="1334" spans="2:15" x14ac:dyDescent="0.25">
      <c r="B1334" s="510" t="s">
        <v>2363</v>
      </c>
      <c r="C1334" s="510"/>
      <c r="F1334" s="447" t="s">
        <v>2364</v>
      </c>
      <c r="H1334" s="812" t="s">
        <v>2366</v>
      </c>
      <c r="I1334" s="1"/>
      <c r="J1334" s="1"/>
      <c r="K1334" s="90"/>
      <c r="L1334" s="811" t="s">
        <v>4937</v>
      </c>
      <c r="M1334" s="148"/>
      <c r="N1334" s="148"/>
      <c r="O1334" s="148"/>
    </row>
    <row r="1335" spans="2:15" x14ac:dyDescent="0.25">
      <c r="B1335" s="511" t="s">
        <v>2367</v>
      </c>
      <c r="C1335" s="511"/>
      <c r="D1335" s="450"/>
      <c r="E1335" s="451"/>
      <c r="F1335" s="452" t="s">
        <v>2368</v>
      </c>
      <c r="G1335" s="392"/>
      <c r="H1335" s="833" t="s">
        <v>2369</v>
      </c>
      <c r="I1335" s="833"/>
      <c r="J1335" s="833"/>
      <c r="K1335" s="833"/>
      <c r="L1335" s="833" t="s">
        <v>4935</v>
      </c>
      <c r="M1335" s="833"/>
      <c r="N1335" s="833"/>
      <c r="O1335" s="833"/>
    </row>
    <row r="1336" spans="2:15" ht="16.5" customHeight="1" x14ac:dyDescent="0.25">
      <c r="B1336" s="512" t="s">
        <v>2370</v>
      </c>
      <c r="C1336" s="512"/>
      <c r="D1336" s="453"/>
      <c r="E1336" s="453"/>
      <c r="F1336" s="835" t="s">
        <v>2371</v>
      </c>
      <c r="G1336" s="835"/>
      <c r="H1336" s="834" t="s">
        <v>2656</v>
      </c>
      <c r="I1336" s="834"/>
      <c r="J1336" s="834"/>
      <c r="K1336" s="834"/>
      <c r="L1336" s="834" t="s">
        <v>4936</v>
      </c>
      <c r="M1336" s="834"/>
      <c r="N1336" s="834"/>
      <c r="O1336" s="834"/>
    </row>
    <row r="1337" spans="2:15" ht="15.75" customHeight="1" x14ac:dyDescent="0.25">
      <c r="B1337" s="508" t="s">
        <v>4925</v>
      </c>
      <c r="C1337" s="508"/>
      <c r="D1337" s="454"/>
      <c r="H1337" s="455"/>
      <c r="I1337" s="455"/>
      <c r="J1337" s="455"/>
    </row>
    <row r="1340" spans="2:15" x14ac:dyDescent="0.25">
      <c r="B1340" s="507" t="s">
        <v>4931</v>
      </c>
      <c r="C1340" s="507"/>
      <c r="L1340" t="s">
        <v>4929</v>
      </c>
    </row>
    <row r="1351" spans="10:10" x14ac:dyDescent="0.25">
      <c r="J1351" t="s">
        <v>4402</v>
      </c>
    </row>
  </sheetData>
  <dataConsolidate/>
  <mergeCells count="9">
    <mergeCell ref="L1335:O1335"/>
    <mergeCell ref="H1336:K1336"/>
    <mergeCell ref="L1336:O1336"/>
    <mergeCell ref="F1336:G1336"/>
    <mergeCell ref="F1298:I1298"/>
    <mergeCell ref="F1304:H1304"/>
    <mergeCell ref="F1331:G1331"/>
    <mergeCell ref="H1331:K1331"/>
    <mergeCell ref="H1335:K1335"/>
  </mergeCells>
  <phoneticPr fontId="1" type="noConversion"/>
  <pageMargins left="0.70866141732283472" right="0.70866141732283472" top="0.74803149606299213" bottom="0.74803149606299213" header="0.31496062992125984" footer="0.31496062992125984"/>
  <pageSetup paperSize="5" scale="55" orientation="landscape" r:id="rId1"/>
  <headerFooter>
    <oddFooter xml:space="preserve">&amp;CPág. &amp;P- -&amp; 74
</oddFooter>
  </headerFooter>
  <rowBreaks count="72" manualBreakCount="72">
    <brk id="20" max="16" man="1"/>
    <brk id="35" max="16" man="1"/>
    <brk id="48" max="16" man="1"/>
    <brk id="65" max="16383" man="1"/>
    <brk id="80" max="16" man="1"/>
    <brk id="102" max="16" man="1"/>
    <brk id="122" max="16" man="1"/>
    <brk id="145" max="16" man="1"/>
    <brk id="163" max="16" man="1"/>
    <brk id="182" max="16" man="1"/>
    <brk id="205" max="16" man="1"/>
    <brk id="225" max="16" man="1"/>
    <brk id="248" max="16" man="1"/>
    <brk id="269" max="16" man="1"/>
    <brk id="287" max="16" man="1"/>
    <brk id="306" max="16" man="1"/>
    <brk id="329" max="16" man="1"/>
    <brk id="350" max="16" man="1"/>
    <brk id="369" max="16" man="1"/>
    <brk id="391" max="16" man="1"/>
    <brk id="408" max="16" man="1"/>
    <brk id="429" max="16" man="1"/>
    <brk id="449" max="16" man="1"/>
    <brk id="465" max="16" man="1"/>
    <brk id="485" max="16" man="1"/>
    <brk id="508" max="16" man="1"/>
    <brk id="531" max="16" man="1"/>
    <brk id="550" max="16" man="1"/>
    <brk id="567" max="16" man="1"/>
    <brk id="583" max="16" man="1"/>
    <brk id="600" max="16" man="1"/>
    <brk id="617" max="16" man="1"/>
    <brk id="634" max="16" man="1"/>
    <brk id="651" max="16" man="1"/>
    <brk id="668" max="16" man="1"/>
    <brk id="682" max="16" man="1"/>
    <brk id="696" max="16" man="1"/>
    <brk id="710" max="16" man="1"/>
    <brk id="724" max="16" man="1"/>
    <brk id="739" max="16" man="1"/>
    <brk id="755" max="16" man="1"/>
    <brk id="773" max="16" man="1"/>
    <brk id="811" max="16" man="1"/>
    <brk id="830" max="16" man="1"/>
    <brk id="847" max="16" man="1"/>
    <brk id="865" max="16" man="1"/>
    <brk id="879" max="16" man="1"/>
    <brk id="893" max="16" man="1"/>
    <brk id="907" max="16" man="1"/>
    <brk id="921" max="16" man="1"/>
    <brk id="934" max="16" man="1"/>
    <brk id="948" max="16" man="1"/>
    <brk id="962" max="16" man="1"/>
    <brk id="976" max="16" man="1"/>
    <brk id="995" max="16" man="1"/>
    <brk id="1019" max="16" man="1"/>
    <brk id="1042" max="16" man="1"/>
    <brk id="1063" max="16" man="1"/>
    <brk id="1081" max="16" man="1"/>
    <brk id="1099" max="16" man="1"/>
    <brk id="1117" max="16" man="1"/>
    <brk id="1135" max="16" man="1"/>
    <brk id="1153" max="16" man="1"/>
    <brk id="1169" max="16383" man="1"/>
    <brk id="1186" max="16" man="1"/>
    <brk id="1204" max="16" man="1"/>
    <brk id="1221" max="16" man="1"/>
    <brk id="1237" max="16" man="1"/>
    <brk id="1253" max="16383" man="1"/>
    <brk id="1267" max="16" man="1"/>
    <brk id="1281" max="16" man="1"/>
    <brk id="1294" max="16" man="1"/>
  </rowBreaks>
  <colBreaks count="1" manualBreakCount="1">
    <brk id="18" max="1048575" man="1"/>
  </colBreaks>
  <ignoredErrors>
    <ignoredError sqref="G1318:G1323 H1307:H1317 G1306:G1317" formulaRange="1"/>
    <ignoredError sqref="G621:G622 G810:G817 G457 G447:G452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B2:X153"/>
  <sheetViews>
    <sheetView topLeftCell="A81" zoomScale="110" zoomScaleNormal="110" workbookViewId="0">
      <pane xSplit="4" topLeftCell="E1" activePane="topRight" state="frozenSplit"/>
      <selection pane="topRight" activeCell="J139" sqref="J139:M139"/>
    </sheetView>
  </sheetViews>
  <sheetFormatPr baseColWidth="10" defaultColWidth="9.140625" defaultRowHeight="12.75" x14ac:dyDescent="0.2"/>
  <cols>
    <col min="1" max="1" width="2.5703125" style="9" customWidth="1"/>
    <col min="2" max="3" width="10.7109375" style="9" customWidth="1"/>
    <col min="4" max="5" width="9.5703125" style="10" customWidth="1"/>
    <col min="6" max="6" width="22.42578125" style="9" customWidth="1"/>
    <col min="7" max="7" width="14.140625" style="3" customWidth="1"/>
    <col min="8" max="8" width="21.5703125" style="10" customWidth="1"/>
    <col min="9" max="9" width="17.5703125" style="10" customWidth="1"/>
    <col min="10" max="10" width="18.42578125" style="9" customWidth="1"/>
    <col min="11" max="11" width="7.28515625" style="9" customWidth="1"/>
    <col min="12" max="12" width="14.140625" style="9" customWidth="1"/>
    <col min="13" max="13" width="6.28515625" style="9" customWidth="1"/>
    <col min="14" max="14" width="9.85546875" style="9" customWidth="1"/>
    <col min="15" max="15" width="11.7109375" style="9" customWidth="1"/>
    <col min="16" max="16" width="10.42578125" style="9" customWidth="1"/>
    <col min="17" max="17" width="13.140625" style="9" customWidth="1"/>
    <col min="18" max="18" width="12.7109375" style="9" customWidth="1"/>
    <col min="19" max="19" width="3.42578125" style="9" customWidth="1"/>
    <col min="20" max="20" width="2.5703125" style="9" customWidth="1"/>
    <col min="21" max="21" width="3.28515625" style="9" customWidth="1"/>
    <col min="22" max="22" width="4.85546875" style="9" customWidth="1"/>
    <col min="23" max="23" width="3.28515625" style="9" customWidth="1"/>
    <col min="24" max="24" width="4.42578125" style="9" customWidth="1"/>
    <col min="25" max="25" width="4.5703125" style="9" customWidth="1"/>
    <col min="26" max="26" width="4.140625" style="9" customWidth="1"/>
    <col min="27" max="27" width="5.5703125" style="9" customWidth="1"/>
    <col min="28" max="28" width="4.42578125" style="9" customWidth="1"/>
    <col min="29" max="29" width="4.140625" style="9" customWidth="1"/>
    <col min="30" max="31" width="3.42578125" style="9" customWidth="1"/>
    <col min="32" max="32" width="4.140625" style="9" customWidth="1"/>
    <col min="33" max="33" width="3.85546875" style="9" customWidth="1"/>
    <col min="34" max="16384" width="9.140625" style="9"/>
  </cols>
  <sheetData>
    <row r="2" spans="2:17" s="1" customFormat="1" ht="25.15" customHeight="1" x14ac:dyDescent="0.3">
      <c r="D2" s="342"/>
      <c r="E2" s="12" t="s">
        <v>2374</v>
      </c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2:17" s="1" customFormat="1" ht="22.15" customHeight="1" x14ac:dyDescent="0.3">
      <c r="D3" s="342"/>
      <c r="E3" s="14" t="s">
        <v>2375</v>
      </c>
      <c r="F3" s="343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2:17" s="1" customFormat="1" ht="22.15" customHeight="1" x14ac:dyDescent="0.2">
      <c r="D4" s="344"/>
      <c r="E4" s="18" t="s">
        <v>4921</v>
      </c>
      <c r="F4" s="20"/>
      <c r="G4" s="20"/>
      <c r="H4" s="20"/>
      <c r="I4" s="20"/>
      <c r="J4" s="17"/>
      <c r="K4" s="17"/>
      <c r="L4" s="17"/>
      <c r="M4" s="17"/>
      <c r="N4" s="17"/>
      <c r="O4" s="17"/>
      <c r="P4" s="17"/>
      <c r="Q4" s="17"/>
    </row>
    <row r="5" spans="2:17" s="1" customFormat="1" ht="16.5" customHeight="1" x14ac:dyDescent="0.2">
      <c r="D5" s="345"/>
      <c r="E5" s="345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</row>
    <row r="6" spans="2:17" s="3" customFormat="1" ht="33.75" customHeight="1" x14ac:dyDescent="0.2">
      <c r="B6" s="519" t="s">
        <v>4344</v>
      </c>
      <c r="C6" s="519" t="s">
        <v>4345</v>
      </c>
      <c r="D6" s="520" t="s">
        <v>2376</v>
      </c>
      <c r="E6" s="521" t="s">
        <v>4</v>
      </c>
      <c r="F6" s="521" t="s">
        <v>5</v>
      </c>
      <c r="G6" s="521" t="s">
        <v>6</v>
      </c>
      <c r="H6" s="521" t="s">
        <v>2377</v>
      </c>
      <c r="I6" s="559" t="s">
        <v>2378</v>
      </c>
      <c r="J6" s="522" t="s">
        <v>9</v>
      </c>
      <c r="K6" s="522" t="s">
        <v>10</v>
      </c>
      <c r="L6" s="523" t="s">
        <v>2379</v>
      </c>
      <c r="M6" s="524" t="s">
        <v>12</v>
      </c>
      <c r="N6" s="525" t="s">
        <v>2380</v>
      </c>
      <c r="O6" s="526" t="s">
        <v>14</v>
      </c>
      <c r="P6" s="520" t="s">
        <v>15</v>
      </c>
      <c r="Q6" s="520" t="s">
        <v>16</v>
      </c>
    </row>
    <row r="7" spans="2:17" s="1" customFormat="1" ht="40.15" customHeight="1" x14ac:dyDescent="0.2">
      <c r="B7" s="584">
        <v>40984</v>
      </c>
      <c r="C7" s="595" t="s">
        <v>2351</v>
      </c>
      <c r="D7" s="571" t="s">
        <v>2381</v>
      </c>
      <c r="E7" s="408" t="s">
        <v>2382</v>
      </c>
      <c r="F7" s="570" t="s">
        <v>2383</v>
      </c>
      <c r="G7" s="571" t="s">
        <v>2384</v>
      </c>
      <c r="H7" s="571" t="s">
        <v>2385</v>
      </c>
      <c r="I7" s="571" t="s">
        <v>2386</v>
      </c>
      <c r="J7" s="596">
        <f>7548.47+1207.75+81.9+13.1</f>
        <v>8851.2200000000012</v>
      </c>
      <c r="K7" s="597">
        <v>39.020000000000003</v>
      </c>
      <c r="L7" s="598">
        <f t="shared" ref="L7:L28" si="0">+J7/K7</f>
        <v>226.8380317785751</v>
      </c>
      <c r="M7" s="571">
        <v>36</v>
      </c>
      <c r="N7" s="585">
        <f t="shared" ref="N7:N28" si="1">IF(AND(J7&lt;&gt;0,M7&lt;&gt;0),J7/M7,0)</f>
        <v>245.86722222222227</v>
      </c>
      <c r="O7" s="599">
        <f t="shared" ref="O7:O38" ca="1" si="2">IF(B7&lt;&gt;0,(ROUND((NOW()-B7)/30,0)),0)</f>
        <v>144</v>
      </c>
      <c r="P7" s="434">
        <v>1</v>
      </c>
      <c r="Q7" s="570" t="s">
        <v>370</v>
      </c>
    </row>
    <row r="8" spans="2:17" s="1" customFormat="1" ht="40.15" customHeight="1" x14ac:dyDescent="0.2">
      <c r="B8" s="584">
        <v>40984</v>
      </c>
      <c r="C8" s="595" t="s">
        <v>2351</v>
      </c>
      <c r="D8" s="571" t="s">
        <v>2381</v>
      </c>
      <c r="E8" s="408" t="s">
        <v>2387</v>
      </c>
      <c r="F8" s="570" t="s">
        <v>2383</v>
      </c>
      <c r="G8" s="571" t="s">
        <v>2388</v>
      </c>
      <c r="H8" s="571" t="s">
        <v>2389</v>
      </c>
      <c r="I8" s="571" t="s">
        <v>2390</v>
      </c>
      <c r="J8" s="596">
        <f>7548.47+1207.75+81.9+13.1</f>
        <v>8851.2200000000012</v>
      </c>
      <c r="K8" s="597">
        <v>39.020000000000003</v>
      </c>
      <c r="L8" s="598">
        <f t="shared" si="0"/>
        <v>226.8380317785751</v>
      </c>
      <c r="M8" s="571">
        <v>36</v>
      </c>
      <c r="N8" s="585">
        <f t="shared" si="1"/>
        <v>245.86722222222227</v>
      </c>
      <c r="O8" s="599">
        <f t="shared" ca="1" si="2"/>
        <v>144</v>
      </c>
      <c r="P8" s="434">
        <v>1</v>
      </c>
      <c r="Q8" s="570" t="s">
        <v>370</v>
      </c>
    </row>
    <row r="9" spans="2:17" s="1" customFormat="1" ht="40.15" customHeight="1" x14ac:dyDescent="0.2">
      <c r="B9" s="584">
        <v>40984</v>
      </c>
      <c r="C9" s="595" t="s">
        <v>2351</v>
      </c>
      <c r="D9" s="571" t="s">
        <v>2381</v>
      </c>
      <c r="E9" s="408" t="s">
        <v>2391</v>
      </c>
      <c r="F9" s="570" t="s">
        <v>2383</v>
      </c>
      <c r="G9" s="571" t="s">
        <v>2392</v>
      </c>
      <c r="H9" s="571" t="s">
        <v>2393</v>
      </c>
      <c r="I9" s="571" t="s">
        <v>2394</v>
      </c>
      <c r="J9" s="596">
        <f>7548.47+1207.75+81.9+13.1</f>
        <v>8851.2200000000012</v>
      </c>
      <c r="K9" s="597">
        <v>39.020000000000003</v>
      </c>
      <c r="L9" s="598">
        <f t="shared" si="0"/>
        <v>226.8380317785751</v>
      </c>
      <c r="M9" s="571">
        <v>36</v>
      </c>
      <c r="N9" s="585">
        <f t="shared" si="1"/>
        <v>245.86722222222227</v>
      </c>
      <c r="O9" s="599">
        <f t="shared" ca="1" si="2"/>
        <v>144</v>
      </c>
      <c r="P9" s="434">
        <v>1</v>
      </c>
      <c r="Q9" s="570" t="s">
        <v>370</v>
      </c>
    </row>
    <row r="10" spans="2:17" s="1" customFormat="1" ht="40.15" customHeight="1" x14ac:dyDescent="0.2">
      <c r="B10" s="584">
        <v>40984</v>
      </c>
      <c r="C10" s="595" t="s">
        <v>2351</v>
      </c>
      <c r="D10" s="571" t="s">
        <v>2381</v>
      </c>
      <c r="E10" s="408" t="s">
        <v>2395</v>
      </c>
      <c r="F10" s="570" t="s">
        <v>2383</v>
      </c>
      <c r="G10" s="571" t="s">
        <v>2396</v>
      </c>
      <c r="H10" s="571" t="s">
        <v>2397</v>
      </c>
      <c r="I10" s="571" t="s">
        <v>2398</v>
      </c>
      <c r="J10" s="596">
        <f>7548.47+1207.75+81.9+13.1</f>
        <v>8851.2200000000012</v>
      </c>
      <c r="K10" s="597">
        <v>39.020000000000003</v>
      </c>
      <c r="L10" s="598">
        <f t="shared" si="0"/>
        <v>226.8380317785751</v>
      </c>
      <c r="M10" s="571">
        <v>36</v>
      </c>
      <c r="N10" s="585">
        <f t="shared" si="1"/>
        <v>245.86722222222227</v>
      </c>
      <c r="O10" s="599">
        <f t="shared" ca="1" si="2"/>
        <v>144</v>
      </c>
      <c r="P10" s="434">
        <v>1</v>
      </c>
      <c r="Q10" s="570" t="s">
        <v>370</v>
      </c>
    </row>
    <row r="11" spans="2:17" s="1" customFormat="1" ht="40.15" customHeight="1" x14ac:dyDescent="0.2">
      <c r="B11" s="584">
        <v>40984</v>
      </c>
      <c r="C11" s="595" t="s">
        <v>2351</v>
      </c>
      <c r="D11" s="571" t="s">
        <v>2381</v>
      </c>
      <c r="E11" s="408" t="s">
        <v>2399</v>
      </c>
      <c r="F11" s="570" t="s">
        <v>2400</v>
      </c>
      <c r="G11" s="571">
        <v>1112071552</v>
      </c>
      <c r="H11" s="571" t="s">
        <v>2385</v>
      </c>
      <c r="I11" s="571" t="s">
        <v>2386</v>
      </c>
      <c r="J11" s="596">
        <f>1456.17+232.99</f>
        <v>1689.16</v>
      </c>
      <c r="K11" s="597">
        <v>39.020000000000003</v>
      </c>
      <c r="L11" s="598">
        <f t="shared" si="0"/>
        <v>43.289595079446435</v>
      </c>
      <c r="M11" s="571">
        <v>60</v>
      </c>
      <c r="N11" s="585">
        <f t="shared" si="1"/>
        <v>28.152666666666669</v>
      </c>
      <c r="O11" s="599">
        <f t="shared" ca="1" si="2"/>
        <v>144</v>
      </c>
      <c r="P11" s="434">
        <v>1</v>
      </c>
      <c r="Q11" s="570" t="s">
        <v>370</v>
      </c>
    </row>
    <row r="12" spans="2:17" s="1" customFormat="1" ht="40.15" customHeight="1" x14ac:dyDescent="0.2">
      <c r="B12" s="584">
        <v>40984</v>
      </c>
      <c r="C12" s="595" t="s">
        <v>2351</v>
      </c>
      <c r="D12" s="571" t="s">
        <v>2381</v>
      </c>
      <c r="E12" s="408" t="s">
        <v>2401</v>
      </c>
      <c r="F12" s="570" t="s">
        <v>2400</v>
      </c>
      <c r="G12" s="571">
        <v>1112071553</v>
      </c>
      <c r="H12" s="571" t="s">
        <v>2389</v>
      </c>
      <c r="I12" s="571" t="s">
        <v>2390</v>
      </c>
      <c r="J12" s="596">
        <f>1456.17+232.99</f>
        <v>1689.16</v>
      </c>
      <c r="K12" s="597">
        <v>39.020000000000003</v>
      </c>
      <c r="L12" s="598">
        <f t="shared" si="0"/>
        <v>43.289595079446435</v>
      </c>
      <c r="M12" s="571">
        <v>60</v>
      </c>
      <c r="N12" s="585">
        <f t="shared" si="1"/>
        <v>28.152666666666669</v>
      </c>
      <c r="O12" s="599">
        <f t="shared" ca="1" si="2"/>
        <v>144</v>
      </c>
      <c r="P12" s="434">
        <v>1</v>
      </c>
      <c r="Q12" s="570" t="s">
        <v>370</v>
      </c>
    </row>
    <row r="13" spans="2:17" s="1" customFormat="1" ht="40.15" customHeight="1" x14ac:dyDescent="0.2">
      <c r="B13" s="584">
        <v>40984</v>
      </c>
      <c r="C13" s="595" t="s">
        <v>2351</v>
      </c>
      <c r="D13" s="571" t="s">
        <v>2381</v>
      </c>
      <c r="E13" s="408" t="s">
        <v>2402</v>
      </c>
      <c r="F13" s="570" t="s">
        <v>2400</v>
      </c>
      <c r="G13" s="571">
        <v>1112071554</v>
      </c>
      <c r="H13" s="571" t="s">
        <v>2393</v>
      </c>
      <c r="I13" s="571" t="s">
        <v>2394</v>
      </c>
      <c r="J13" s="596">
        <f>1456.17+232.99</f>
        <v>1689.16</v>
      </c>
      <c r="K13" s="597">
        <v>39.020000000000003</v>
      </c>
      <c r="L13" s="598">
        <f t="shared" si="0"/>
        <v>43.289595079446435</v>
      </c>
      <c r="M13" s="571">
        <v>60</v>
      </c>
      <c r="N13" s="585">
        <f t="shared" si="1"/>
        <v>28.152666666666669</v>
      </c>
      <c r="O13" s="599">
        <f t="shared" ca="1" si="2"/>
        <v>144</v>
      </c>
      <c r="P13" s="434">
        <v>1</v>
      </c>
      <c r="Q13" s="570" t="s">
        <v>370</v>
      </c>
    </row>
    <row r="14" spans="2:17" s="1" customFormat="1" ht="40.15" customHeight="1" x14ac:dyDescent="0.2">
      <c r="B14" s="584">
        <v>40984</v>
      </c>
      <c r="C14" s="595" t="s">
        <v>2351</v>
      </c>
      <c r="D14" s="571" t="s">
        <v>2381</v>
      </c>
      <c r="E14" s="408" t="s">
        <v>2403</v>
      </c>
      <c r="F14" s="570" t="s">
        <v>2400</v>
      </c>
      <c r="G14" s="571">
        <v>1112071627</v>
      </c>
      <c r="H14" s="571" t="s">
        <v>2397</v>
      </c>
      <c r="I14" s="571" t="s">
        <v>2398</v>
      </c>
      <c r="J14" s="596">
        <f>1456.17+232.99</f>
        <v>1689.16</v>
      </c>
      <c r="K14" s="597">
        <v>39.020000000000003</v>
      </c>
      <c r="L14" s="598">
        <f t="shared" si="0"/>
        <v>43.289595079446435</v>
      </c>
      <c r="M14" s="571">
        <v>60</v>
      </c>
      <c r="N14" s="585">
        <f t="shared" si="1"/>
        <v>28.152666666666669</v>
      </c>
      <c r="O14" s="599">
        <f t="shared" ca="1" si="2"/>
        <v>144</v>
      </c>
      <c r="P14" s="434">
        <v>1</v>
      </c>
      <c r="Q14" s="570" t="s">
        <v>370</v>
      </c>
    </row>
    <row r="15" spans="2:17" s="1" customFormat="1" ht="40.15" customHeight="1" x14ac:dyDescent="0.2">
      <c r="B15" s="601">
        <v>40984</v>
      </c>
      <c r="C15" s="767" t="s">
        <v>2351</v>
      </c>
      <c r="D15" s="578" t="s">
        <v>2381</v>
      </c>
      <c r="E15" s="419" t="s">
        <v>2404</v>
      </c>
      <c r="F15" s="577" t="s">
        <v>2405</v>
      </c>
      <c r="G15" s="578" t="s">
        <v>2406</v>
      </c>
      <c r="H15" s="578" t="s">
        <v>2407</v>
      </c>
      <c r="I15" s="578" t="s">
        <v>19</v>
      </c>
      <c r="J15" s="602">
        <f>2870.73+459.32</f>
        <v>3330.05</v>
      </c>
      <c r="K15" s="603">
        <v>39.020000000000003</v>
      </c>
      <c r="L15" s="604">
        <f t="shared" si="0"/>
        <v>85.342132239876989</v>
      </c>
      <c r="M15" s="578">
        <v>60</v>
      </c>
      <c r="N15" s="605">
        <f t="shared" si="1"/>
        <v>55.50083333333334</v>
      </c>
      <c r="O15" s="606">
        <f t="shared" ca="1" si="2"/>
        <v>144</v>
      </c>
      <c r="P15" s="583">
        <v>1</v>
      </c>
      <c r="Q15" s="600" t="s">
        <v>370</v>
      </c>
    </row>
    <row r="16" spans="2:17" s="1" customFormat="1" ht="40.15" customHeight="1" x14ac:dyDescent="0.2">
      <c r="B16" s="601">
        <v>40984</v>
      </c>
      <c r="C16" s="767" t="s">
        <v>2351</v>
      </c>
      <c r="D16" s="578" t="s">
        <v>2381</v>
      </c>
      <c r="E16" s="419" t="s">
        <v>2408</v>
      </c>
      <c r="F16" s="577" t="s">
        <v>2405</v>
      </c>
      <c r="G16" s="578" t="s">
        <v>2409</v>
      </c>
      <c r="H16" s="578" t="s">
        <v>2410</v>
      </c>
      <c r="I16" s="578" t="s">
        <v>19</v>
      </c>
      <c r="J16" s="602">
        <f>2870.73+459.32</f>
        <v>3330.05</v>
      </c>
      <c r="K16" s="603">
        <v>39.020000000000003</v>
      </c>
      <c r="L16" s="604">
        <f t="shared" si="0"/>
        <v>85.342132239876989</v>
      </c>
      <c r="M16" s="578">
        <v>60</v>
      </c>
      <c r="N16" s="605">
        <f t="shared" si="1"/>
        <v>55.50083333333334</v>
      </c>
      <c r="O16" s="606">
        <f t="shared" ca="1" si="2"/>
        <v>144</v>
      </c>
      <c r="P16" s="583">
        <v>1</v>
      </c>
      <c r="Q16" s="600" t="s">
        <v>370</v>
      </c>
    </row>
    <row r="17" spans="2:17" s="1" customFormat="1" ht="40.15" customHeight="1" x14ac:dyDescent="0.2">
      <c r="B17" s="601">
        <v>40984</v>
      </c>
      <c r="C17" s="767" t="s">
        <v>2351</v>
      </c>
      <c r="D17" s="578" t="s">
        <v>2381</v>
      </c>
      <c r="E17" s="419" t="s">
        <v>2411</v>
      </c>
      <c r="F17" s="577" t="s">
        <v>2405</v>
      </c>
      <c r="G17" s="578" t="s">
        <v>2412</v>
      </c>
      <c r="H17" s="578" t="s">
        <v>2413</v>
      </c>
      <c r="I17" s="578" t="s">
        <v>19</v>
      </c>
      <c r="J17" s="602">
        <f>2870.73+459.31</f>
        <v>3330.04</v>
      </c>
      <c r="K17" s="603">
        <v>39.020000000000003</v>
      </c>
      <c r="L17" s="604">
        <f t="shared" si="0"/>
        <v>85.341875961045616</v>
      </c>
      <c r="M17" s="578">
        <v>60</v>
      </c>
      <c r="N17" s="605">
        <f t="shared" si="1"/>
        <v>55.500666666666667</v>
      </c>
      <c r="O17" s="606">
        <f t="shared" ca="1" si="2"/>
        <v>144</v>
      </c>
      <c r="P17" s="583">
        <v>1</v>
      </c>
      <c r="Q17" s="570" t="s">
        <v>370</v>
      </c>
    </row>
    <row r="18" spans="2:17" s="340" customFormat="1" ht="40.15" customHeight="1" x14ac:dyDescent="0.2">
      <c r="B18" s="601">
        <v>40984</v>
      </c>
      <c r="C18" s="767" t="s">
        <v>2351</v>
      </c>
      <c r="D18" s="578" t="s">
        <v>2381</v>
      </c>
      <c r="E18" s="419" t="s">
        <v>2414</v>
      </c>
      <c r="F18" s="577" t="s">
        <v>2415</v>
      </c>
      <c r="G18" s="578" t="s">
        <v>2416</v>
      </c>
      <c r="H18" s="578" t="s">
        <v>2417</v>
      </c>
      <c r="I18" s="578" t="s">
        <v>19</v>
      </c>
      <c r="J18" s="602">
        <f>2870.73+459.31</f>
        <v>3330.04</v>
      </c>
      <c r="K18" s="603">
        <v>39.020000000000003</v>
      </c>
      <c r="L18" s="604">
        <f t="shared" si="0"/>
        <v>85.341875961045616</v>
      </c>
      <c r="M18" s="578">
        <v>60</v>
      </c>
      <c r="N18" s="605">
        <f t="shared" si="1"/>
        <v>55.500666666666667</v>
      </c>
      <c r="O18" s="606">
        <f t="shared" ca="1" si="2"/>
        <v>144</v>
      </c>
      <c r="P18" s="583">
        <v>1</v>
      </c>
      <c r="Q18" s="600" t="s">
        <v>370</v>
      </c>
    </row>
    <row r="19" spans="2:17" s="1" customFormat="1" ht="40.15" customHeight="1" x14ac:dyDescent="0.2">
      <c r="B19" s="601">
        <v>40984</v>
      </c>
      <c r="C19" s="767" t="s">
        <v>2351</v>
      </c>
      <c r="D19" s="578" t="s">
        <v>2381</v>
      </c>
      <c r="E19" s="419" t="s">
        <v>2418</v>
      </c>
      <c r="F19" s="577" t="s">
        <v>2415</v>
      </c>
      <c r="G19" s="578" t="s">
        <v>2419</v>
      </c>
      <c r="H19" s="578" t="s">
        <v>2420</v>
      </c>
      <c r="I19" s="578" t="s">
        <v>19</v>
      </c>
      <c r="J19" s="602">
        <f>2870.73+459.31</f>
        <v>3330.04</v>
      </c>
      <c r="K19" s="603">
        <v>39.020000000000003</v>
      </c>
      <c r="L19" s="604">
        <f t="shared" si="0"/>
        <v>85.341875961045616</v>
      </c>
      <c r="M19" s="578">
        <v>60</v>
      </c>
      <c r="N19" s="605">
        <f t="shared" si="1"/>
        <v>55.500666666666667</v>
      </c>
      <c r="O19" s="606">
        <f t="shared" ca="1" si="2"/>
        <v>144</v>
      </c>
      <c r="P19" s="583">
        <v>1</v>
      </c>
      <c r="Q19" s="570" t="s">
        <v>370</v>
      </c>
    </row>
    <row r="20" spans="2:17" s="340" customFormat="1" ht="40.15" customHeight="1" x14ac:dyDescent="0.2">
      <c r="B20" s="601">
        <v>40984</v>
      </c>
      <c r="C20" s="767" t="s">
        <v>2351</v>
      </c>
      <c r="D20" s="578" t="s">
        <v>2381</v>
      </c>
      <c r="E20" s="419" t="s">
        <v>2421</v>
      </c>
      <c r="F20" s="577" t="s">
        <v>2415</v>
      </c>
      <c r="G20" s="578" t="s">
        <v>2422</v>
      </c>
      <c r="H20" s="578" t="s">
        <v>2420</v>
      </c>
      <c r="I20" s="578" t="s">
        <v>19</v>
      </c>
      <c r="J20" s="602">
        <f>2870.73+459.31</f>
        <v>3330.04</v>
      </c>
      <c r="K20" s="603">
        <v>39.020000000000003</v>
      </c>
      <c r="L20" s="604">
        <f t="shared" si="0"/>
        <v>85.341875961045616</v>
      </c>
      <c r="M20" s="578">
        <v>60</v>
      </c>
      <c r="N20" s="605">
        <f t="shared" si="1"/>
        <v>55.500666666666667</v>
      </c>
      <c r="O20" s="606">
        <f t="shared" ca="1" si="2"/>
        <v>144</v>
      </c>
      <c r="P20" s="583">
        <v>1</v>
      </c>
      <c r="Q20" s="600" t="s">
        <v>370</v>
      </c>
    </row>
    <row r="21" spans="2:17" s="1" customFormat="1" ht="50.25" customHeight="1" x14ac:dyDescent="0.2">
      <c r="B21" s="584">
        <v>40996</v>
      </c>
      <c r="C21" s="595" t="s">
        <v>2351</v>
      </c>
      <c r="D21" s="571" t="s">
        <v>2423</v>
      </c>
      <c r="E21" s="408" t="s">
        <v>2404</v>
      </c>
      <c r="F21" s="570" t="s">
        <v>2424</v>
      </c>
      <c r="G21" s="571" t="s">
        <v>2425</v>
      </c>
      <c r="H21" s="571" t="s">
        <v>2385</v>
      </c>
      <c r="I21" s="571" t="s">
        <v>2386</v>
      </c>
      <c r="J21" s="596">
        <f>40063.18+6410.11+4680.95+748.95+563.19+90.11</f>
        <v>52556.49</v>
      </c>
      <c r="K21" s="597">
        <v>38.979999999999997</v>
      </c>
      <c r="L21" s="598">
        <f t="shared" si="0"/>
        <v>1348.293740379682</v>
      </c>
      <c r="M21" s="571">
        <v>60</v>
      </c>
      <c r="N21" s="585">
        <f t="shared" si="1"/>
        <v>875.94150000000002</v>
      </c>
      <c r="O21" s="599">
        <f t="shared" ca="1" si="2"/>
        <v>144</v>
      </c>
      <c r="P21" s="434">
        <v>1</v>
      </c>
      <c r="Q21" s="570" t="s">
        <v>61</v>
      </c>
    </row>
    <row r="22" spans="2:17" s="1" customFormat="1" ht="49.5" customHeight="1" x14ac:dyDescent="0.2">
      <c r="B22" s="584">
        <v>40996</v>
      </c>
      <c r="C22" s="595" t="s">
        <v>2351</v>
      </c>
      <c r="D22" s="571" t="s">
        <v>2423</v>
      </c>
      <c r="E22" s="408" t="s">
        <v>2408</v>
      </c>
      <c r="F22" s="570" t="s">
        <v>2424</v>
      </c>
      <c r="G22" s="571" t="s">
        <v>2426</v>
      </c>
      <c r="H22" s="571" t="s">
        <v>2389</v>
      </c>
      <c r="I22" s="571" t="s">
        <v>2390</v>
      </c>
      <c r="J22" s="596">
        <f>40063.18+6410.11+4680.95+748.95+563.19+90.11</f>
        <v>52556.49</v>
      </c>
      <c r="K22" s="597">
        <v>38.979999999999997</v>
      </c>
      <c r="L22" s="598">
        <f t="shared" si="0"/>
        <v>1348.293740379682</v>
      </c>
      <c r="M22" s="571">
        <v>60</v>
      </c>
      <c r="N22" s="585">
        <f t="shared" si="1"/>
        <v>875.94150000000002</v>
      </c>
      <c r="O22" s="599">
        <f t="shared" ca="1" si="2"/>
        <v>144</v>
      </c>
      <c r="P22" s="434">
        <v>1</v>
      </c>
      <c r="Q22" s="570" t="s">
        <v>61</v>
      </c>
    </row>
    <row r="23" spans="2:17" s="1" customFormat="1" ht="48.75" customHeight="1" x14ac:dyDescent="0.2">
      <c r="B23" s="584">
        <v>40996</v>
      </c>
      <c r="C23" s="595" t="s">
        <v>2351</v>
      </c>
      <c r="D23" s="571" t="s">
        <v>2423</v>
      </c>
      <c r="E23" s="408" t="s">
        <v>2411</v>
      </c>
      <c r="F23" s="570" t="s">
        <v>2424</v>
      </c>
      <c r="G23" s="571" t="s">
        <v>2427</v>
      </c>
      <c r="H23" s="571" t="s">
        <v>2393</v>
      </c>
      <c r="I23" s="571" t="s">
        <v>2394</v>
      </c>
      <c r="J23" s="596">
        <f>40063.18+6410.11+4680.95+748.95+563.19+90.11</f>
        <v>52556.49</v>
      </c>
      <c r="K23" s="597">
        <v>38.979999999999997</v>
      </c>
      <c r="L23" s="598">
        <f t="shared" si="0"/>
        <v>1348.293740379682</v>
      </c>
      <c r="M23" s="571">
        <v>60</v>
      </c>
      <c r="N23" s="585">
        <f t="shared" si="1"/>
        <v>875.94150000000002</v>
      </c>
      <c r="O23" s="599">
        <f t="shared" ca="1" si="2"/>
        <v>144</v>
      </c>
      <c r="P23" s="434">
        <v>1</v>
      </c>
      <c r="Q23" s="570" t="s">
        <v>61</v>
      </c>
    </row>
    <row r="24" spans="2:17" s="1" customFormat="1" ht="46.5" customHeight="1" x14ac:dyDescent="0.2">
      <c r="B24" s="584">
        <v>40996</v>
      </c>
      <c r="C24" s="595" t="s">
        <v>2351</v>
      </c>
      <c r="D24" s="571" t="s">
        <v>2423</v>
      </c>
      <c r="E24" s="408" t="s">
        <v>2414</v>
      </c>
      <c r="F24" s="570" t="s">
        <v>2424</v>
      </c>
      <c r="G24" s="571" t="s">
        <v>2428</v>
      </c>
      <c r="H24" s="571" t="s">
        <v>2397</v>
      </c>
      <c r="I24" s="571" t="s">
        <v>2398</v>
      </c>
      <c r="J24" s="596">
        <f>40063.18+6410.11+4680.95+748.95+563.19+90.11</f>
        <v>52556.49</v>
      </c>
      <c r="K24" s="597">
        <v>38.979999999999997</v>
      </c>
      <c r="L24" s="598">
        <f t="shared" si="0"/>
        <v>1348.293740379682</v>
      </c>
      <c r="M24" s="571">
        <v>60</v>
      </c>
      <c r="N24" s="585">
        <f t="shared" si="1"/>
        <v>875.94150000000002</v>
      </c>
      <c r="O24" s="599">
        <f t="shared" ca="1" si="2"/>
        <v>144</v>
      </c>
      <c r="P24" s="434">
        <v>1</v>
      </c>
      <c r="Q24" s="570" t="s">
        <v>61</v>
      </c>
    </row>
    <row r="25" spans="2:17" s="1" customFormat="1" ht="47.25" customHeight="1" x14ac:dyDescent="0.2">
      <c r="B25" s="584">
        <v>40996</v>
      </c>
      <c r="C25" s="595" t="s">
        <v>2351</v>
      </c>
      <c r="D25" s="571" t="s">
        <v>2423</v>
      </c>
      <c r="E25" s="408" t="s">
        <v>2429</v>
      </c>
      <c r="F25" s="570" t="s">
        <v>2424</v>
      </c>
      <c r="G25" s="571" t="s">
        <v>2430</v>
      </c>
      <c r="H25" s="571" t="s">
        <v>2420</v>
      </c>
      <c r="I25" s="571" t="s">
        <v>19</v>
      </c>
      <c r="J25" s="596">
        <f>40063.18+6410.11+4680.95+748.95+563.19+90.11</f>
        <v>52556.49</v>
      </c>
      <c r="K25" s="597">
        <v>38.979999999999997</v>
      </c>
      <c r="L25" s="598">
        <f t="shared" si="0"/>
        <v>1348.293740379682</v>
      </c>
      <c r="M25" s="571">
        <v>60</v>
      </c>
      <c r="N25" s="585">
        <f t="shared" si="1"/>
        <v>875.94150000000002</v>
      </c>
      <c r="O25" s="599">
        <f t="shared" ca="1" si="2"/>
        <v>144</v>
      </c>
      <c r="P25" s="434">
        <v>1</v>
      </c>
      <c r="Q25" s="570" t="s">
        <v>61</v>
      </c>
    </row>
    <row r="26" spans="2:17" s="1" customFormat="1" ht="40.15" customHeight="1" x14ac:dyDescent="0.2">
      <c r="B26" s="584">
        <v>40997</v>
      </c>
      <c r="C26" s="595" t="s">
        <v>2351</v>
      </c>
      <c r="D26" s="571" t="s">
        <v>2431</v>
      </c>
      <c r="E26" s="408" t="s">
        <v>2432</v>
      </c>
      <c r="F26" s="570" t="s">
        <v>2433</v>
      </c>
      <c r="G26" s="571" t="s">
        <v>2434</v>
      </c>
      <c r="H26" s="571" t="s">
        <v>2420</v>
      </c>
      <c r="I26" s="571" t="s">
        <v>19</v>
      </c>
      <c r="J26" s="596">
        <f>18351.78+2936.29</f>
        <v>21288.07</v>
      </c>
      <c r="K26" s="597">
        <v>38.99</v>
      </c>
      <c r="L26" s="598">
        <f t="shared" si="0"/>
        <v>545.98794562708383</v>
      </c>
      <c r="M26" s="571">
        <v>60</v>
      </c>
      <c r="N26" s="585">
        <f t="shared" si="1"/>
        <v>354.80116666666669</v>
      </c>
      <c r="O26" s="599">
        <f t="shared" ca="1" si="2"/>
        <v>143</v>
      </c>
      <c r="P26" s="434">
        <v>1</v>
      </c>
      <c r="Q26" s="570" t="s">
        <v>729</v>
      </c>
    </row>
    <row r="27" spans="2:17" s="1" customFormat="1" ht="40.15" customHeight="1" x14ac:dyDescent="0.2">
      <c r="B27" s="584">
        <v>40997</v>
      </c>
      <c r="C27" s="595" t="s">
        <v>2351</v>
      </c>
      <c r="D27" s="571" t="s">
        <v>2431</v>
      </c>
      <c r="E27" s="408" t="s">
        <v>2435</v>
      </c>
      <c r="F27" s="570" t="s">
        <v>2433</v>
      </c>
      <c r="G27" s="571" t="s">
        <v>2436</v>
      </c>
      <c r="H27" s="571" t="s">
        <v>2420</v>
      </c>
      <c r="I27" s="571" t="s">
        <v>19</v>
      </c>
      <c r="J27" s="596">
        <f>18351.78+2936.28</f>
        <v>21288.059999999998</v>
      </c>
      <c r="K27" s="597">
        <v>38.99</v>
      </c>
      <c r="L27" s="598">
        <f t="shared" si="0"/>
        <v>545.98768915106427</v>
      </c>
      <c r="M27" s="571">
        <v>60</v>
      </c>
      <c r="N27" s="585">
        <f t="shared" si="1"/>
        <v>354.80099999999999</v>
      </c>
      <c r="O27" s="599">
        <f t="shared" ca="1" si="2"/>
        <v>143</v>
      </c>
      <c r="P27" s="434">
        <v>1</v>
      </c>
      <c r="Q27" s="570" t="s">
        <v>729</v>
      </c>
    </row>
    <row r="28" spans="2:17" s="1" customFormat="1" ht="40.15" customHeight="1" x14ac:dyDescent="0.2">
      <c r="B28" s="601">
        <v>40997</v>
      </c>
      <c r="C28" s="595" t="s">
        <v>2351</v>
      </c>
      <c r="D28" s="578" t="s">
        <v>2437</v>
      </c>
      <c r="E28" s="419" t="s">
        <v>2438</v>
      </c>
      <c r="F28" s="577" t="s">
        <v>2439</v>
      </c>
      <c r="G28" s="578" t="s">
        <v>2440</v>
      </c>
      <c r="H28" s="578" t="s">
        <v>942</v>
      </c>
      <c r="I28" s="578" t="s">
        <v>19</v>
      </c>
      <c r="J28" s="602">
        <f>48021+7683.36</f>
        <v>55704.36</v>
      </c>
      <c r="K28" s="603">
        <v>38.99</v>
      </c>
      <c r="L28" s="604">
        <f t="shared" si="0"/>
        <v>1428.6832521159272</v>
      </c>
      <c r="M28" s="578">
        <v>60</v>
      </c>
      <c r="N28" s="605">
        <f t="shared" si="1"/>
        <v>928.40600000000006</v>
      </c>
      <c r="O28" s="606">
        <f t="shared" ca="1" si="2"/>
        <v>143</v>
      </c>
      <c r="P28" s="583">
        <v>1</v>
      </c>
      <c r="Q28" s="577" t="s">
        <v>778</v>
      </c>
    </row>
    <row r="29" spans="2:17" s="1" customFormat="1" ht="40.15" customHeight="1" x14ac:dyDescent="0.2">
      <c r="B29" s="601">
        <v>40997</v>
      </c>
      <c r="C29" s="595" t="s">
        <v>2351</v>
      </c>
      <c r="D29" s="578" t="s">
        <v>2437</v>
      </c>
      <c r="E29" s="419" t="s">
        <v>2441</v>
      </c>
      <c r="F29" s="577" t="s">
        <v>2439</v>
      </c>
      <c r="G29" s="578" t="s">
        <v>2442</v>
      </c>
      <c r="H29" s="578" t="s">
        <v>2413</v>
      </c>
      <c r="I29" s="578" t="s">
        <v>19</v>
      </c>
      <c r="J29" s="602">
        <f t="shared" ref="J29:J35" si="3">48021+7683.36</f>
        <v>55704.36</v>
      </c>
      <c r="K29" s="603">
        <v>38.99</v>
      </c>
      <c r="L29" s="604">
        <f t="shared" ref="L29:L55" si="4">+J29/K29</f>
        <v>1428.6832521159272</v>
      </c>
      <c r="M29" s="578">
        <v>60</v>
      </c>
      <c r="N29" s="605">
        <f t="shared" ref="N29:N55" si="5">IF(AND(J29&lt;&gt;0,M29&lt;&gt;0),J29/M29,0)</f>
        <v>928.40600000000006</v>
      </c>
      <c r="O29" s="606">
        <f t="shared" ca="1" si="2"/>
        <v>143</v>
      </c>
      <c r="P29" s="583">
        <v>1</v>
      </c>
      <c r="Q29" s="577" t="s">
        <v>778</v>
      </c>
    </row>
    <row r="30" spans="2:17" s="1" customFormat="1" ht="40.15" customHeight="1" x14ac:dyDescent="0.2">
      <c r="B30" s="601">
        <v>40997</v>
      </c>
      <c r="C30" s="595" t="s">
        <v>2351</v>
      </c>
      <c r="D30" s="578" t="s">
        <v>2437</v>
      </c>
      <c r="E30" s="419" t="s">
        <v>2443</v>
      </c>
      <c r="F30" s="577" t="s">
        <v>2439</v>
      </c>
      <c r="G30" s="578" t="s">
        <v>2444</v>
      </c>
      <c r="H30" s="578" t="s">
        <v>2445</v>
      </c>
      <c r="I30" s="578" t="s">
        <v>19</v>
      </c>
      <c r="J30" s="602">
        <f t="shared" si="3"/>
        <v>55704.36</v>
      </c>
      <c r="K30" s="603">
        <v>38.99</v>
      </c>
      <c r="L30" s="604">
        <f t="shared" si="4"/>
        <v>1428.6832521159272</v>
      </c>
      <c r="M30" s="578">
        <v>60</v>
      </c>
      <c r="N30" s="605">
        <f t="shared" si="5"/>
        <v>928.40600000000006</v>
      </c>
      <c r="O30" s="606">
        <f t="shared" ca="1" si="2"/>
        <v>143</v>
      </c>
      <c r="P30" s="583">
        <v>1</v>
      </c>
      <c r="Q30" s="577" t="s">
        <v>778</v>
      </c>
    </row>
    <row r="31" spans="2:17" s="1" customFormat="1" ht="40.15" customHeight="1" x14ac:dyDescent="0.2">
      <c r="B31" s="601">
        <v>40997</v>
      </c>
      <c r="C31" s="595" t="s">
        <v>2351</v>
      </c>
      <c r="D31" s="578" t="s">
        <v>2437</v>
      </c>
      <c r="E31" s="419" t="s">
        <v>2446</v>
      </c>
      <c r="F31" s="577" t="s">
        <v>2439</v>
      </c>
      <c r="G31" s="578" t="s">
        <v>2447</v>
      </c>
      <c r="H31" s="578" t="s">
        <v>2420</v>
      </c>
      <c r="I31" s="578" t="s">
        <v>19</v>
      </c>
      <c r="J31" s="602">
        <f t="shared" si="3"/>
        <v>55704.36</v>
      </c>
      <c r="K31" s="603">
        <v>38.99</v>
      </c>
      <c r="L31" s="604">
        <f t="shared" si="4"/>
        <v>1428.6832521159272</v>
      </c>
      <c r="M31" s="578">
        <v>60</v>
      </c>
      <c r="N31" s="605">
        <f t="shared" si="5"/>
        <v>928.40600000000006</v>
      </c>
      <c r="O31" s="606">
        <f t="shared" ca="1" si="2"/>
        <v>143</v>
      </c>
      <c r="P31" s="583">
        <v>1</v>
      </c>
      <c r="Q31" s="577" t="s">
        <v>778</v>
      </c>
    </row>
    <row r="32" spans="2:17" s="1" customFormat="1" ht="40.15" customHeight="1" x14ac:dyDescent="0.2">
      <c r="B32" s="601">
        <v>40997</v>
      </c>
      <c r="C32" s="595" t="s">
        <v>2351</v>
      </c>
      <c r="D32" s="578" t="s">
        <v>2437</v>
      </c>
      <c r="E32" s="419" t="s">
        <v>2448</v>
      </c>
      <c r="F32" s="577" t="s">
        <v>2439</v>
      </c>
      <c r="G32" s="578" t="s">
        <v>2449</v>
      </c>
      <c r="H32" s="578" t="s">
        <v>2420</v>
      </c>
      <c r="I32" s="578" t="s">
        <v>19</v>
      </c>
      <c r="J32" s="602">
        <f t="shared" si="3"/>
        <v>55704.36</v>
      </c>
      <c r="K32" s="603">
        <v>38.99</v>
      </c>
      <c r="L32" s="604">
        <f t="shared" si="4"/>
        <v>1428.6832521159272</v>
      </c>
      <c r="M32" s="578">
        <v>60</v>
      </c>
      <c r="N32" s="605">
        <f t="shared" si="5"/>
        <v>928.40600000000006</v>
      </c>
      <c r="O32" s="606">
        <f t="shared" ca="1" si="2"/>
        <v>143</v>
      </c>
      <c r="P32" s="583">
        <v>1</v>
      </c>
      <c r="Q32" s="577" t="s">
        <v>778</v>
      </c>
    </row>
    <row r="33" spans="2:24" s="1" customFormat="1" ht="50.25" customHeight="1" x14ac:dyDescent="0.2">
      <c r="B33" s="584">
        <v>40997</v>
      </c>
      <c r="C33" s="595" t="s">
        <v>2351</v>
      </c>
      <c r="D33" s="571" t="s">
        <v>2437</v>
      </c>
      <c r="E33" s="408" t="s">
        <v>2450</v>
      </c>
      <c r="F33" s="570" t="s">
        <v>2439</v>
      </c>
      <c r="G33" s="571" t="s">
        <v>2451</v>
      </c>
      <c r="H33" s="571" t="s">
        <v>2452</v>
      </c>
      <c r="I33" s="571" t="s">
        <v>2453</v>
      </c>
      <c r="J33" s="596">
        <f t="shared" si="3"/>
        <v>55704.36</v>
      </c>
      <c r="K33" s="597">
        <v>38.99</v>
      </c>
      <c r="L33" s="598">
        <f t="shared" si="4"/>
        <v>1428.6832521159272</v>
      </c>
      <c r="M33" s="571">
        <v>60</v>
      </c>
      <c r="N33" s="585">
        <f t="shared" si="5"/>
        <v>928.40600000000006</v>
      </c>
      <c r="O33" s="599">
        <f t="shared" ca="1" si="2"/>
        <v>143</v>
      </c>
      <c r="P33" s="434">
        <v>1</v>
      </c>
      <c r="Q33" s="570" t="s">
        <v>778</v>
      </c>
    </row>
    <row r="34" spans="2:24" s="1" customFormat="1" ht="62.25" customHeight="1" x14ac:dyDescent="0.2">
      <c r="B34" s="584">
        <v>40997</v>
      </c>
      <c r="C34" s="595" t="s">
        <v>2351</v>
      </c>
      <c r="D34" s="571" t="s">
        <v>2437</v>
      </c>
      <c r="E34" s="408" t="s">
        <v>2454</v>
      </c>
      <c r="F34" s="570" t="s">
        <v>2439</v>
      </c>
      <c r="G34" s="571" t="s">
        <v>2455</v>
      </c>
      <c r="H34" s="571" t="s">
        <v>2452</v>
      </c>
      <c r="I34" s="571" t="s">
        <v>2453</v>
      </c>
      <c r="J34" s="596">
        <f t="shared" si="3"/>
        <v>55704.36</v>
      </c>
      <c r="K34" s="597">
        <v>38.99</v>
      </c>
      <c r="L34" s="598">
        <f t="shared" si="4"/>
        <v>1428.6832521159272</v>
      </c>
      <c r="M34" s="571">
        <v>60</v>
      </c>
      <c r="N34" s="585">
        <f t="shared" si="5"/>
        <v>928.40600000000006</v>
      </c>
      <c r="O34" s="599">
        <f t="shared" ca="1" si="2"/>
        <v>143</v>
      </c>
      <c r="P34" s="434">
        <v>1</v>
      </c>
      <c r="Q34" s="570" t="s">
        <v>778</v>
      </c>
    </row>
    <row r="35" spans="2:24" s="1" customFormat="1" ht="40.15" customHeight="1" x14ac:dyDescent="0.2">
      <c r="B35" s="601">
        <v>40997</v>
      </c>
      <c r="C35" s="595" t="s">
        <v>2351</v>
      </c>
      <c r="D35" s="578" t="s">
        <v>2437</v>
      </c>
      <c r="E35" s="419" t="s">
        <v>2456</v>
      </c>
      <c r="F35" s="577" t="s">
        <v>2439</v>
      </c>
      <c r="G35" s="578" t="s">
        <v>2457</v>
      </c>
      <c r="H35" s="578" t="s">
        <v>2458</v>
      </c>
      <c r="I35" s="578" t="s">
        <v>19</v>
      </c>
      <c r="J35" s="602">
        <f t="shared" si="3"/>
        <v>55704.36</v>
      </c>
      <c r="K35" s="603">
        <v>38.99</v>
      </c>
      <c r="L35" s="604">
        <f t="shared" si="4"/>
        <v>1428.6832521159272</v>
      </c>
      <c r="M35" s="578">
        <v>60</v>
      </c>
      <c r="N35" s="605">
        <f t="shared" si="5"/>
        <v>928.40600000000006</v>
      </c>
      <c r="O35" s="606">
        <f t="shared" ca="1" si="2"/>
        <v>143</v>
      </c>
      <c r="P35" s="583">
        <v>1</v>
      </c>
      <c r="Q35" s="577" t="s">
        <v>778</v>
      </c>
    </row>
    <row r="36" spans="2:24" s="1" customFormat="1" ht="40.15" customHeight="1" x14ac:dyDescent="0.2">
      <c r="B36" s="601">
        <v>40997</v>
      </c>
      <c r="C36" s="595" t="s">
        <v>2351</v>
      </c>
      <c r="D36" s="578" t="s">
        <v>2459</v>
      </c>
      <c r="E36" s="419" t="s">
        <v>2460</v>
      </c>
      <c r="F36" s="577" t="s">
        <v>2461</v>
      </c>
      <c r="G36" s="578" t="s">
        <v>2462</v>
      </c>
      <c r="H36" s="578" t="s">
        <v>2463</v>
      </c>
      <c r="I36" s="578" t="s">
        <v>19</v>
      </c>
      <c r="J36" s="602">
        <f>77716+12434.56</f>
        <v>90150.56</v>
      </c>
      <c r="K36" s="603">
        <v>38.99</v>
      </c>
      <c r="L36" s="604">
        <f t="shared" si="4"/>
        <v>2312.1456783790713</v>
      </c>
      <c r="M36" s="578">
        <v>60</v>
      </c>
      <c r="N36" s="605">
        <f t="shared" si="5"/>
        <v>1502.5093333333332</v>
      </c>
      <c r="O36" s="606">
        <f t="shared" ca="1" si="2"/>
        <v>143</v>
      </c>
      <c r="P36" s="583">
        <v>1</v>
      </c>
      <c r="Q36" s="577" t="s">
        <v>778</v>
      </c>
    </row>
    <row r="37" spans="2:24" s="1" customFormat="1" ht="40.15" customHeight="1" x14ac:dyDescent="0.2">
      <c r="B37" s="584">
        <v>40997</v>
      </c>
      <c r="C37" s="595" t="s">
        <v>2351</v>
      </c>
      <c r="D37" s="571" t="s">
        <v>2459</v>
      </c>
      <c r="E37" s="408" t="s">
        <v>2418</v>
      </c>
      <c r="F37" s="570" t="s">
        <v>2461</v>
      </c>
      <c r="G37" s="571" t="s">
        <v>2464</v>
      </c>
      <c r="H37" s="571" t="s">
        <v>2465</v>
      </c>
      <c r="I37" s="571" t="s">
        <v>2466</v>
      </c>
      <c r="J37" s="596">
        <f>77716+12434.56</f>
        <v>90150.56</v>
      </c>
      <c r="K37" s="597">
        <v>38.99</v>
      </c>
      <c r="L37" s="598">
        <f t="shared" si="4"/>
        <v>2312.1456783790713</v>
      </c>
      <c r="M37" s="571">
        <v>60</v>
      </c>
      <c r="N37" s="585">
        <f t="shared" si="5"/>
        <v>1502.5093333333332</v>
      </c>
      <c r="O37" s="599">
        <f t="shared" ca="1" si="2"/>
        <v>143</v>
      </c>
      <c r="P37" s="434">
        <v>1</v>
      </c>
      <c r="Q37" s="570" t="s">
        <v>778</v>
      </c>
    </row>
    <row r="38" spans="2:24" s="1" customFormat="1" ht="40.15" customHeight="1" x14ac:dyDescent="0.2">
      <c r="B38" s="584">
        <v>41028</v>
      </c>
      <c r="C38" s="595" t="s">
        <v>2351</v>
      </c>
      <c r="D38" s="571" t="s">
        <v>2467</v>
      </c>
      <c r="E38" s="408" t="s">
        <v>2468</v>
      </c>
      <c r="F38" s="570" t="s">
        <v>2469</v>
      </c>
      <c r="G38" s="607" t="s">
        <v>2470</v>
      </c>
      <c r="H38" s="571" t="s">
        <v>2420</v>
      </c>
      <c r="I38" s="571" t="s">
        <v>2471</v>
      </c>
      <c r="J38" s="596">
        <f>12215.52+6219.83+6143.42+552.93+4021.07</f>
        <v>29152.769999999997</v>
      </c>
      <c r="K38" s="597">
        <v>38.99</v>
      </c>
      <c r="L38" s="598">
        <f t="shared" si="4"/>
        <v>747.69864067709659</v>
      </c>
      <c r="M38" s="571">
        <v>60</v>
      </c>
      <c r="N38" s="585">
        <f t="shared" si="5"/>
        <v>485.87949999999995</v>
      </c>
      <c r="O38" s="599">
        <f t="shared" ca="1" si="2"/>
        <v>142</v>
      </c>
      <c r="P38" s="434">
        <v>1</v>
      </c>
      <c r="Q38" s="570" t="s">
        <v>370</v>
      </c>
    </row>
    <row r="39" spans="2:24" s="1" customFormat="1" ht="40.15" customHeight="1" x14ac:dyDescent="0.2">
      <c r="B39" s="601">
        <v>41028</v>
      </c>
      <c r="C39" s="595" t="s">
        <v>2351</v>
      </c>
      <c r="D39" s="578" t="s">
        <v>2467</v>
      </c>
      <c r="E39" s="419" t="s">
        <v>2472</v>
      </c>
      <c r="F39" s="577" t="s">
        <v>2469</v>
      </c>
      <c r="G39" s="608" t="s">
        <v>2473</v>
      </c>
      <c r="H39" s="578" t="s">
        <v>2420</v>
      </c>
      <c r="I39" s="578" t="s">
        <v>19</v>
      </c>
      <c r="J39" s="602">
        <f>12215.52+6219.83+6143.42+552.93+4021.07</f>
        <v>29152.769999999997</v>
      </c>
      <c r="K39" s="603">
        <v>38.99</v>
      </c>
      <c r="L39" s="604">
        <f t="shared" si="4"/>
        <v>747.69864067709659</v>
      </c>
      <c r="M39" s="578">
        <v>60</v>
      </c>
      <c r="N39" s="605">
        <f t="shared" si="5"/>
        <v>485.87949999999995</v>
      </c>
      <c r="O39" s="606">
        <f t="shared" ref="O39:O70" ca="1" si="6">IF(B39&lt;&gt;0,(ROUND((NOW()-B39)/30,0)),0)</f>
        <v>142</v>
      </c>
      <c r="P39" s="583">
        <v>1</v>
      </c>
      <c r="Q39" s="577" t="s">
        <v>370</v>
      </c>
    </row>
    <row r="40" spans="2:24" s="341" customFormat="1" ht="40.15" customHeight="1" x14ac:dyDescent="0.2">
      <c r="B40" s="601">
        <v>41028</v>
      </c>
      <c r="C40" s="595" t="s">
        <v>2351</v>
      </c>
      <c r="D40" s="578" t="s">
        <v>2467</v>
      </c>
      <c r="E40" s="419" t="s">
        <v>2474</v>
      </c>
      <c r="F40" s="577" t="s">
        <v>2469</v>
      </c>
      <c r="G40" s="608" t="s">
        <v>2475</v>
      </c>
      <c r="H40" s="578" t="s">
        <v>2420</v>
      </c>
      <c r="I40" s="578" t="s">
        <v>19</v>
      </c>
      <c r="J40" s="602">
        <f>12215.52+6219.83+6143.42+552.93+4021.07</f>
        <v>29152.769999999997</v>
      </c>
      <c r="K40" s="603">
        <v>38.99</v>
      </c>
      <c r="L40" s="604">
        <f t="shared" si="4"/>
        <v>747.69864067709659</v>
      </c>
      <c r="M40" s="578">
        <v>60</v>
      </c>
      <c r="N40" s="605">
        <f t="shared" si="5"/>
        <v>485.87949999999995</v>
      </c>
      <c r="O40" s="606">
        <f t="shared" ca="1" si="6"/>
        <v>142</v>
      </c>
      <c r="P40" s="583">
        <v>1</v>
      </c>
      <c r="Q40" s="577" t="s">
        <v>370</v>
      </c>
      <c r="R40" s="340"/>
      <c r="S40" s="340"/>
      <c r="T40" s="340"/>
      <c r="U40" s="340"/>
      <c r="V40" s="340"/>
      <c r="W40" s="340"/>
      <c r="X40" s="340"/>
    </row>
    <row r="41" spans="2:24" s="1" customFormat="1" ht="40.15" customHeight="1" x14ac:dyDescent="0.2">
      <c r="B41" s="601">
        <v>41028</v>
      </c>
      <c r="C41" s="595" t="s">
        <v>2351</v>
      </c>
      <c r="D41" s="578" t="s">
        <v>2467</v>
      </c>
      <c r="E41" s="419" t="s">
        <v>2476</v>
      </c>
      <c r="F41" s="577" t="s">
        <v>2469</v>
      </c>
      <c r="G41" s="608" t="s">
        <v>2477</v>
      </c>
      <c r="H41" s="578" t="s">
        <v>2420</v>
      </c>
      <c r="I41" s="578" t="s">
        <v>19</v>
      </c>
      <c r="J41" s="602">
        <f>12215.52+6219.83+6143.42+552.93+4021.07</f>
        <v>29152.769999999997</v>
      </c>
      <c r="K41" s="603">
        <v>38.99</v>
      </c>
      <c r="L41" s="604">
        <f t="shared" si="4"/>
        <v>747.69864067709659</v>
      </c>
      <c r="M41" s="578">
        <v>60</v>
      </c>
      <c r="N41" s="605">
        <f t="shared" si="5"/>
        <v>485.87949999999995</v>
      </c>
      <c r="O41" s="606">
        <f t="shared" ca="1" si="6"/>
        <v>142</v>
      </c>
      <c r="P41" s="583">
        <v>1</v>
      </c>
      <c r="Q41" s="577" t="s">
        <v>370</v>
      </c>
    </row>
    <row r="42" spans="2:24" s="1" customFormat="1" ht="40.15" customHeight="1" x14ac:dyDescent="0.2">
      <c r="B42" s="601">
        <v>41028</v>
      </c>
      <c r="C42" s="595" t="s">
        <v>2351</v>
      </c>
      <c r="D42" s="578" t="s">
        <v>2467</v>
      </c>
      <c r="E42" s="419" t="s">
        <v>2478</v>
      </c>
      <c r="F42" s="577" t="s">
        <v>2469</v>
      </c>
      <c r="G42" s="608" t="s">
        <v>2479</v>
      </c>
      <c r="H42" s="578" t="s">
        <v>2420</v>
      </c>
      <c r="I42" s="578" t="s">
        <v>19</v>
      </c>
      <c r="J42" s="602">
        <f>12215.52+6219.83+6143.42+552.93+4021.07</f>
        <v>29152.769999999997</v>
      </c>
      <c r="K42" s="603">
        <v>38.99</v>
      </c>
      <c r="L42" s="604">
        <f t="shared" si="4"/>
        <v>747.69864067709659</v>
      </c>
      <c r="M42" s="578">
        <v>60</v>
      </c>
      <c r="N42" s="605">
        <f t="shared" si="5"/>
        <v>485.87949999999995</v>
      </c>
      <c r="O42" s="606">
        <f t="shared" ca="1" si="6"/>
        <v>142</v>
      </c>
      <c r="P42" s="583">
        <v>1</v>
      </c>
      <c r="Q42" s="577" t="s">
        <v>370</v>
      </c>
    </row>
    <row r="43" spans="2:24" s="1" customFormat="1" ht="40.15" customHeight="1" x14ac:dyDescent="0.2">
      <c r="B43" s="584">
        <v>41030</v>
      </c>
      <c r="C43" s="595" t="s">
        <v>2351</v>
      </c>
      <c r="D43" s="571" t="s">
        <v>2480</v>
      </c>
      <c r="E43" s="408" t="s">
        <v>2481</v>
      </c>
      <c r="F43" s="570" t="s">
        <v>2482</v>
      </c>
      <c r="G43" s="607" t="s">
        <v>28</v>
      </c>
      <c r="H43" s="571" t="s">
        <v>2420</v>
      </c>
      <c r="I43" s="571" t="s">
        <v>19</v>
      </c>
      <c r="J43" s="596">
        <f>7995+1279.2</f>
        <v>9274.2000000000007</v>
      </c>
      <c r="K43" s="597">
        <v>38.99</v>
      </c>
      <c r="L43" s="598">
        <f t="shared" si="4"/>
        <v>237.86098999743524</v>
      </c>
      <c r="M43" s="571">
        <v>60</v>
      </c>
      <c r="N43" s="585">
        <f t="shared" si="5"/>
        <v>154.57000000000002</v>
      </c>
      <c r="O43" s="599">
        <f t="shared" ca="1" si="6"/>
        <v>142</v>
      </c>
      <c r="P43" s="434">
        <v>1</v>
      </c>
      <c r="Q43" s="570" t="s">
        <v>631</v>
      </c>
    </row>
    <row r="44" spans="2:24" s="1" customFormat="1" ht="40.15" customHeight="1" x14ac:dyDescent="0.2">
      <c r="B44" s="584">
        <v>41030</v>
      </c>
      <c r="C44" s="595" t="s">
        <v>2351</v>
      </c>
      <c r="D44" s="571" t="s">
        <v>2480</v>
      </c>
      <c r="E44" s="408" t="s">
        <v>2483</v>
      </c>
      <c r="F44" s="570" t="s">
        <v>2484</v>
      </c>
      <c r="G44" s="607" t="s">
        <v>28</v>
      </c>
      <c r="H44" s="571" t="s">
        <v>2485</v>
      </c>
      <c r="I44" s="571" t="s">
        <v>19</v>
      </c>
      <c r="J44" s="596">
        <f>4300+688</f>
        <v>4988</v>
      </c>
      <c r="K44" s="597">
        <v>38.99</v>
      </c>
      <c r="L44" s="598">
        <f t="shared" si="4"/>
        <v>127.93023852269812</v>
      </c>
      <c r="M44" s="571">
        <v>60</v>
      </c>
      <c r="N44" s="585">
        <f t="shared" si="5"/>
        <v>83.13333333333334</v>
      </c>
      <c r="O44" s="599">
        <f t="shared" ca="1" si="6"/>
        <v>142</v>
      </c>
      <c r="P44" s="434">
        <v>1</v>
      </c>
      <c r="Q44" s="570" t="s">
        <v>631</v>
      </c>
    </row>
    <row r="45" spans="2:24" s="1" customFormat="1" ht="40.15" customHeight="1" x14ac:dyDescent="0.2">
      <c r="B45" s="584">
        <v>41030</v>
      </c>
      <c r="C45" s="595" t="s">
        <v>2351</v>
      </c>
      <c r="D45" s="571" t="s">
        <v>2480</v>
      </c>
      <c r="E45" s="408" t="s">
        <v>2486</v>
      </c>
      <c r="F45" s="570" t="s">
        <v>2487</v>
      </c>
      <c r="G45" s="607" t="s">
        <v>2488</v>
      </c>
      <c r="H45" s="571" t="s">
        <v>2489</v>
      </c>
      <c r="I45" s="571" t="s">
        <v>19</v>
      </c>
      <c r="J45" s="596">
        <f>5800+928</f>
        <v>6728</v>
      </c>
      <c r="K45" s="597">
        <v>38.99</v>
      </c>
      <c r="L45" s="598">
        <f t="shared" si="4"/>
        <v>172.55706591433699</v>
      </c>
      <c r="M45" s="571">
        <v>60</v>
      </c>
      <c r="N45" s="585">
        <f t="shared" si="5"/>
        <v>112.13333333333334</v>
      </c>
      <c r="O45" s="599">
        <f t="shared" ca="1" si="6"/>
        <v>142</v>
      </c>
      <c r="P45" s="434">
        <v>1</v>
      </c>
      <c r="Q45" s="570" t="s">
        <v>631</v>
      </c>
    </row>
    <row r="46" spans="2:24" s="1" customFormat="1" ht="40.15" customHeight="1" x14ac:dyDescent="0.2">
      <c r="B46" s="584">
        <v>41030</v>
      </c>
      <c r="C46" s="595" t="s">
        <v>2351</v>
      </c>
      <c r="D46" s="571" t="s">
        <v>2480</v>
      </c>
      <c r="E46" s="408" t="s">
        <v>2490</v>
      </c>
      <c r="F46" s="570" t="s">
        <v>2487</v>
      </c>
      <c r="G46" s="607" t="s">
        <v>2491</v>
      </c>
      <c r="H46" s="571" t="s">
        <v>2492</v>
      </c>
      <c r="I46" s="571" t="s">
        <v>19</v>
      </c>
      <c r="J46" s="596">
        <f>5800+928</f>
        <v>6728</v>
      </c>
      <c r="K46" s="597">
        <v>38.99</v>
      </c>
      <c r="L46" s="598">
        <f t="shared" si="4"/>
        <v>172.55706591433699</v>
      </c>
      <c r="M46" s="571">
        <v>60</v>
      </c>
      <c r="N46" s="585">
        <f t="shared" si="5"/>
        <v>112.13333333333334</v>
      </c>
      <c r="O46" s="599">
        <f t="shared" ca="1" si="6"/>
        <v>142</v>
      </c>
      <c r="P46" s="434">
        <v>1</v>
      </c>
      <c r="Q46" s="570" t="s">
        <v>631</v>
      </c>
    </row>
    <row r="47" spans="2:24" s="1" customFormat="1" ht="40.15" customHeight="1" x14ac:dyDescent="0.2">
      <c r="B47" s="584">
        <v>41614</v>
      </c>
      <c r="C47" s="595" t="s">
        <v>2351</v>
      </c>
      <c r="D47" s="571" t="s">
        <v>2493</v>
      </c>
      <c r="E47" s="408" t="s">
        <v>2494</v>
      </c>
      <c r="F47" s="572" t="s">
        <v>2495</v>
      </c>
      <c r="G47" s="571" t="s">
        <v>2496</v>
      </c>
      <c r="H47" s="571" t="s">
        <v>2420</v>
      </c>
      <c r="I47" s="571" t="s">
        <v>19</v>
      </c>
      <c r="J47" s="426">
        <v>73254.399999999994</v>
      </c>
      <c r="K47" s="426">
        <v>42.53</v>
      </c>
      <c r="L47" s="598">
        <f t="shared" si="4"/>
        <v>1722.4171173289442</v>
      </c>
      <c r="M47" s="571">
        <v>60</v>
      </c>
      <c r="N47" s="585">
        <f t="shared" si="5"/>
        <v>1220.9066666666665</v>
      </c>
      <c r="O47" s="599">
        <f t="shared" ca="1" si="6"/>
        <v>123</v>
      </c>
      <c r="P47" s="434">
        <v>1</v>
      </c>
      <c r="Q47" s="570" t="s">
        <v>2497</v>
      </c>
    </row>
    <row r="48" spans="2:24" s="1" customFormat="1" ht="40.15" customHeight="1" x14ac:dyDescent="0.2">
      <c r="B48" s="584">
        <v>41621</v>
      </c>
      <c r="C48" s="595" t="s">
        <v>2351</v>
      </c>
      <c r="D48" s="571" t="s">
        <v>2498</v>
      </c>
      <c r="E48" s="408" t="s">
        <v>2499</v>
      </c>
      <c r="F48" s="572" t="s">
        <v>2500</v>
      </c>
      <c r="G48" s="571" t="s">
        <v>28</v>
      </c>
      <c r="H48" s="408" t="s">
        <v>2501</v>
      </c>
      <c r="I48" s="571" t="s">
        <v>19</v>
      </c>
      <c r="J48" s="426">
        <f>31470.6/7</f>
        <v>4495.8</v>
      </c>
      <c r="K48" s="426">
        <v>42.56</v>
      </c>
      <c r="L48" s="598">
        <f t="shared" si="4"/>
        <v>105.63439849624061</v>
      </c>
      <c r="M48" s="571">
        <v>60</v>
      </c>
      <c r="N48" s="585">
        <f t="shared" si="5"/>
        <v>74.930000000000007</v>
      </c>
      <c r="O48" s="599">
        <f t="shared" ca="1" si="6"/>
        <v>123</v>
      </c>
      <c r="P48" s="434">
        <v>1</v>
      </c>
      <c r="Q48" s="570" t="s">
        <v>2502</v>
      </c>
    </row>
    <row r="49" spans="2:17" s="1" customFormat="1" ht="40.15" customHeight="1" x14ac:dyDescent="0.2">
      <c r="B49" s="584">
        <v>41621</v>
      </c>
      <c r="C49" s="595" t="s">
        <v>2351</v>
      </c>
      <c r="D49" s="571" t="s">
        <v>2498</v>
      </c>
      <c r="E49" s="408" t="s">
        <v>2503</v>
      </c>
      <c r="F49" s="572" t="s">
        <v>2500</v>
      </c>
      <c r="G49" s="571" t="s">
        <v>28</v>
      </c>
      <c r="H49" s="571" t="s">
        <v>60</v>
      </c>
      <c r="I49" s="571" t="s">
        <v>19</v>
      </c>
      <c r="J49" s="426">
        <f>31470.6/7</f>
        <v>4495.8</v>
      </c>
      <c r="K49" s="426">
        <v>42.56</v>
      </c>
      <c r="L49" s="598">
        <f t="shared" si="4"/>
        <v>105.63439849624061</v>
      </c>
      <c r="M49" s="571">
        <v>60</v>
      </c>
      <c r="N49" s="585">
        <f t="shared" si="5"/>
        <v>74.930000000000007</v>
      </c>
      <c r="O49" s="599">
        <f t="shared" ca="1" si="6"/>
        <v>123</v>
      </c>
      <c r="P49" s="434">
        <v>1</v>
      </c>
      <c r="Q49" s="570" t="s">
        <v>2502</v>
      </c>
    </row>
    <row r="50" spans="2:17" s="1" customFormat="1" ht="40.15" customHeight="1" x14ac:dyDescent="0.2">
      <c r="B50" s="584">
        <v>41621</v>
      </c>
      <c r="C50" s="595" t="s">
        <v>2351</v>
      </c>
      <c r="D50" s="571" t="s">
        <v>2498</v>
      </c>
      <c r="E50" s="408" t="s">
        <v>2504</v>
      </c>
      <c r="F50" s="572" t="s">
        <v>2500</v>
      </c>
      <c r="G50" s="571" t="s">
        <v>28</v>
      </c>
      <c r="H50" s="571" t="s">
        <v>2505</v>
      </c>
      <c r="I50" s="571" t="s">
        <v>19</v>
      </c>
      <c r="J50" s="426">
        <f>31470.6/7</f>
        <v>4495.8</v>
      </c>
      <c r="K50" s="426">
        <v>42.56</v>
      </c>
      <c r="L50" s="598">
        <f t="shared" si="4"/>
        <v>105.63439849624061</v>
      </c>
      <c r="M50" s="571">
        <v>60</v>
      </c>
      <c r="N50" s="585">
        <f t="shared" si="5"/>
        <v>74.930000000000007</v>
      </c>
      <c r="O50" s="599">
        <f t="shared" ca="1" si="6"/>
        <v>123</v>
      </c>
      <c r="P50" s="434">
        <v>1</v>
      </c>
      <c r="Q50" s="570" t="s">
        <v>2502</v>
      </c>
    </row>
    <row r="51" spans="2:17" s="1" customFormat="1" ht="40.15" customHeight="1" x14ac:dyDescent="0.2">
      <c r="B51" s="584">
        <v>41621</v>
      </c>
      <c r="C51" s="595" t="s">
        <v>2351</v>
      </c>
      <c r="D51" s="571" t="s">
        <v>2498</v>
      </c>
      <c r="E51" s="408" t="s">
        <v>2506</v>
      </c>
      <c r="F51" s="572" t="s">
        <v>2500</v>
      </c>
      <c r="G51" s="571" t="s">
        <v>28</v>
      </c>
      <c r="H51" s="408" t="s">
        <v>2501</v>
      </c>
      <c r="I51" s="571" t="s">
        <v>19</v>
      </c>
      <c r="J51" s="426">
        <f>31470.6/7</f>
        <v>4495.8</v>
      </c>
      <c r="K51" s="426">
        <v>42.56</v>
      </c>
      <c r="L51" s="598">
        <f t="shared" si="4"/>
        <v>105.63439849624061</v>
      </c>
      <c r="M51" s="571">
        <v>60</v>
      </c>
      <c r="N51" s="585">
        <f t="shared" si="5"/>
        <v>74.930000000000007</v>
      </c>
      <c r="O51" s="599">
        <f t="shared" ca="1" si="6"/>
        <v>123</v>
      </c>
      <c r="P51" s="434">
        <v>1</v>
      </c>
      <c r="Q51" s="570" t="s">
        <v>2502</v>
      </c>
    </row>
    <row r="52" spans="2:17" s="1" customFormat="1" ht="40.15" customHeight="1" x14ac:dyDescent="0.2">
      <c r="B52" s="584">
        <v>41621</v>
      </c>
      <c r="C52" s="595" t="s">
        <v>2351</v>
      </c>
      <c r="D52" s="571" t="s">
        <v>2498</v>
      </c>
      <c r="E52" s="408" t="s">
        <v>2507</v>
      </c>
      <c r="F52" s="572" t="s">
        <v>2500</v>
      </c>
      <c r="G52" s="571" t="s">
        <v>28</v>
      </c>
      <c r="H52" s="408" t="s">
        <v>2501</v>
      </c>
      <c r="I52" s="571" t="s">
        <v>19</v>
      </c>
      <c r="J52" s="426">
        <f>31470.6/7</f>
        <v>4495.8</v>
      </c>
      <c r="K52" s="426">
        <v>42.56</v>
      </c>
      <c r="L52" s="598">
        <f t="shared" si="4"/>
        <v>105.63439849624061</v>
      </c>
      <c r="M52" s="571">
        <v>60</v>
      </c>
      <c r="N52" s="585">
        <f t="shared" si="5"/>
        <v>74.930000000000007</v>
      </c>
      <c r="O52" s="599">
        <f t="shared" ca="1" si="6"/>
        <v>123</v>
      </c>
      <c r="P52" s="434">
        <v>1</v>
      </c>
      <c r="Q52" s="570" t="s">
        <v>2502</v>
      </c>
    </row>
    <row r="53" spans="2:17" s="1" customFormat="1" ht="40.15" customHeight="1" x14ac:dyDescent="0.2">
      <c r="B53" s="584">
        <v>41654</v>
      </c>
      <c r="C53" s="595" t="s">
        <v>2351</v>
      </c>
      <c r="D53" s="571" t="s">
        <v>2508</v>
      </c>
      <c r="E53" s="408" t="s">
        <v>2509</v>
      </c>
      <c r="F53" s="572" t="s">
        <v>2510</v>
      </c>
      <c r="G53" s="571" t="s">
        <v>2511</v>
      </c>
      <c r="H53" s="571" t="s">
        <v>2512</v>
      </c>
      <c r="I53" s="571" t="s">
        <v>19</v>
      </c>
      <c r="J53" s="426">
        <v>563650.01</v>
      </c>
      <c r="K53" s="426">
        <v>42.85</v>
      </c>
      <c r="L53" s="598">
        <f t="shared" si="4"/>
        <v>13154.025904317386</v>
      </c>
      <c r="M53" s="571">
        <v>60</v>
      </c>
      <c r="N53" s="585">
        <f t="shared" si="5"/>
        <v>9394.1668333333328</v>
      </c>
      <c r="O53" s="599">
        <f t="shared" ca="1" si="6"/>
        <v>122</v>
      </c>
      <c r="P53" s="434">
        <v>1</v>
      </c>
      <c r="Q53" s="570" t="s">
        <v>771</v>
      </c>
    </row>
    <row r="54" spans="2:17" s="1" customFormat="1" ht="48" customHeight="1" x14ac:dyDescent="0.2">
      <c r="B54" s="584">
        <v>41663</v>
      </c>
      <c r="C54" s="595" t="s">
        <v>2351</v>
      </c>
      <c r="D54" s="571" t="s">
        <v>2513</v>
      </c>
      <c r="E54" s="408" t="s">
        <v>2421</v>
      </c>
      <c r="F54" s="572" t="s">
        <v>2514</v>
      </c>
      <c r="G54" s="571" t="s">
        <v>2515</v>
      </c>
      <c r="H54" s="571" t="s">
        <v>2516</v>
      </c>
      <c r="I54" s="571" t="s">
        <v>2517</v>
      </c>
      <c r="J54" s="426">
        <v>36200.019999999997</v>
      </c>
      <c r="K54" s="426">
        <v>42.95</v>
      </c>
      <c r="L54" s="598">
        <f t="shared" si="4"/>
        <v>842.84097788125712</v>
      </c>
      <c r="M54" s="571">
        <v>60</v>
      </c>
      <c r="N54" s="585">
        <f t="shared" si="5"/>
        <v>603.33366666666666</v>
      </c>
      <c r="O54" s="599">
        <f t="shared" ca="1" si="6"/>
        <v>121</v>
      </c>
      <c r="P54" s="434">
        <v>1</v>
      </c>
      <c r="Q54" s="570" t="s">
        <v>2518</v>
      </c>
    </row>
    <row r="55" spans="2:17" s="1" customFormat="1" ht="40.15" customHeight="1" x14ac:dyDescent="0.2">
      <c r="B55" s="584">
        <v>41666</v>
      </c>
      <c r="C55" s="595" t="s">
        <v>2351</v>
      </c>
      <c r="D55" s="571" t="s">
        <v>2519</v>
      </c>
      <c r="E55" s="408" t="s">
        <v>2520</v>
      </c>
      <c r="F55" s="572" t="s">
        <v>2521</v>
      </c>
      <c r="G55" s="571" t="s">
        <v>2522</v>
      </c>
      <c r="H55" s="571" t="s">
        <v>743</v>
      </c>
      <c r="I55" s="571" t="s">
        <v>19</v>
      </c>
      <c r="J55" s="426">
        <v>324818.59999999998</v>
      </c>
      <c r="K55" s="426">
        <v>42.98</v>
      </c>
      <c r="L55" s="598">
        <f t="shared" si="4"/>
        <v>7557.4360167519781</v>
      </c>
      <c r="M55" s="571">
        <v>60</v>
      </c>
      <c r="N55" s="585">
        <f t="shared" si="5"/>
        <v>5413.6433333333325</v>
      </c>
      <c r="O55" s="599">
        <f t="shared" ca="1" si="6"/>
        <v>121</v>
      </c>
      <c r="P55" s="434">
        <v>1</v>
      </c>
      <c r="Q55" s="570" t="s">
        <v>2497</v>
      </c>
    </row>
    <row r="56" spans="2:17" s="1" customFormat="1" ht="40.15" customHeight="1" x14ac:dyDescent="0.2">
      <c r="B56" s="406">
        <v>41682</v>
      </c>
      <c r="C56" s="595" t="s">
        <v>2351</v>
      </c>
      <c r="D56" s="408" t="s">
        <v>2523</v>
      </c>
      <c r="E56" s="408" t="s">
        <v>2524</v>
      </c>
      <c r="F56" s="407" t="s">
        <v>2525</v>
      </c>
      <c r="G56" s="408" t="s">
        <v>2526</v>
      </c>
      <c r="H56" s="408" t="s">
        <v>2527</v>
      </c>
      <c r="I56" s="408" t="s">
        <v>2528</v>
      </c>
      <c r="J56" s="573">
        <v>6230.4</v>
      </c>
      <c r="K56" s="573">
        <v>43.1</v>
      </c>
      <c r="L56" s="609">
        <f t="shared" ref="L56:L83" si="7">+J56/K56</f>
        <v>144.5568445475638</v>
      </c>
      <c r="M56" s="408">
        <v>60</v>
      </c>
      <c r="N56" s="415">
        <f t="shared" ref="N56:N83" si="8">IF(AND(J56&lt;&gt;0,M56&lt;&gt;0),J56/M56,0)</f>
        <v>103.83999999999999</v>
      </c>
      <c r="O56" s="513">
        <f t="shared" ca="1" si="6"/>
        <v>121</v>
      </c>
      <c r="P56" s="434">
        <v>1</v>
      </c>
      <c r="Q56" s="409" t="s">
        <v>2529</v>
      </c>
    </row>
    <row r="57" spans="2:17" s="1" customFormat="1" ht="40.15" customHeight="1" x14ac:dyDescent="0.2">
      <c r="B57" s="406">
        <v>41682</v>
      </c>
      <c r="C57" s="595" t="s">
        <v>2351</v>
      </c>
      <c r="D57" s="408" t="s">
        <v>2523</v>
      </c>
      <c r="E57" s="408" t="s">
        <v>2530</v>
      </c>
      <c r="F57" s="407" t="s">
        <v>2525</v>
      </c>
      <c r="G57" s="408" t="s">
        <v>2531</v>
      </c>
      <c r="H57" s="408" t="s">
        <v>2532</v>
      </c>
      <c r="I57" s="408" t="s">
        <v>2533</v>
      </c>
      <c r="J57" s="573">
        <v>6230.4</v>
      </c>
      <c r="K57" s="573">
        <v>43.1</v>
      </c>
      <c r="L57" s="609">
        <f t="shared" si="7"/>
        <v>144.5568445475638</v>
      </c>
      <c r="M57" s="408">
        <v>60</v>
      </c>
      <c r="N57" s="415">
        <f t="shared" si="8"/>
        <v>103.83999999999999</v>
      </c>
      <c r="O57" s="513">
        <f t="shared" ca="1" si="6"/>
        <v>121</v>
      </c>
      <c r="P57" s="434">
        <v>1</v>
      </c>
      <c r="Q57" s="409" t="s">
        <v>2529</v>
      </c>
    </row>
    <row r="58" spans="2:17" s="1" customFormat="1" ht="40.15" customHeight="1" x14ac:dyDescent="0.2">
      <c r="B58" s="406">
        <v>41682</v>
      </c>
      <c r="C58" s="595" t="s">
        <v>2351</v>
      </c>
      <c r="D58" s="408" t="s">
        <v>2523</v>
      </c>
      <c r="E58" s="408" t="s">
        <v>2534</v>
      </c>
      <c r="F58" s="407" t="s">
        <v>2525</v>
      </c>
      <c r="G58" s="408" t="s">
        <v>2535</v>
      </c>
      <c r="H58" s="408" t="s">
        <v>2516</v>
      </c>
      <c r="I58" s="408" t="s">
        <v>2517</v>
      </c>
      <c r="J58" s="573">
        <v>6230.4</v>
      </c>
      <c r="K58" s="573">
        <v>43.1</v>
      </c>
      <c r="L58" s="609">
        <f t="shared" si="7"/>
        <v>144.5568445475638</v>
      </c>
      <c r="M58" s="408">
        <v>60</v>
      </c>
      <c r="N58" s="415">
        <f t="shared" si="8"/>
        <v>103.83999999999999</v>
      </c>
      <c r="O58" s="513">
        <f t="shared" ca="1" si="6"/>
        <v>121</v>
      </c>
      <c r="P58" s="434">
        <v>1</v>
      </c>
      <c r="Q58" s="409" t="s">
        <v>2529</v>
      </c>
    </row>
    <row r="59" spans="2:17" s="1" customFormat="1" ht="40.15" customHeight="1" x14ac:dyDescent="0.2">
      <c r="B59" s="406">
        <v>41682</v>
      </c>
      <c r="C59" s="595" t="s">
        <v>2351</v>
      </c>
      <c r="D59" s="408" t="s">
        <v>2523</v>
      </c>
      <c r="E59" s="408" t="s">
        <v>2536</v>
      </c>
      <c r="F59" s="407" t="s">
        <v>2525</v>
      </c>
      <c r="G59" s="408" t="s">
        <v>2537</v>
      </c>
      <c r="H59" s="408" t="s">
        <v>2538</v>
      </c>
      <c r="I59" s="408" t="s">
        <v>2398</v>
      </c>
      <c r="J59" s="573">
        <v>6230.4</v>
      </c>
      <c r="K59" s="573">
        <v>43.1</v>
      </c>
      <c r="L59" s="609">
        <f t="shared" si="7"/>
        <v>144.5568445475638</v>
      </c>
      <c r="M59" s="408">
        <v>60</v>
      </c>
      <c r="N59" s="415">
        <f t="shared" si="8"/>
        <v>103.83999999999999</v>
      </c>
      <c r="O59" s="513">
        <f t="shared" ca="1" si="6"/>
        <v>121</v>
      </c>
      <c r="P59" s="434">
        <v>1</v>
      </c>
      <c r="Q59" s="409" t="s">
        <v>2529</v>
      </c>
    </row>
    <row r="60" spans="2:17" s="1" customFormat="1" ht="40.15" customHeight="1" x14ac:dyDescent="0.2">
      <c r="B60" s="406">
        <v>41682</v>
      </c>
      <c r="C60" s="595" t="s">
        <v>2351</v>
      </c>
      <c r="D60" s="408" t="s">
        <v>2523</v>
      </c>
      <c r="E60" s="408" t="s">
        <v>2429</v>
      </c>
      <c r="F60" s="407" t="s">
        <v>2525</v>
      </c>
      <c r="G60" s="408" t="s">
        <v>2539</v>
      </c>
      <c r="H60" s="408" t="s">
        <v>2540</v>
      </c>
      <c r="I60" s="408" t="s">
        <v>2386</v>
      </c>
      <c r="J60" s="573">
        <v>6230.4</v>
      </c>
      <c r="K60" s="573">
        <v>43.1</v>
      </c>
      <c r="L60" s="609">
        <f t="shared" si="7"/>
        <v>144.5568445475638</v>
      </c>
      <c r="M60" s="408">
        <v>60</v>
      </c>
      <c r="N60" s="415">
        <f t="shared" si="8"/>
        <v>103.83999999999999</v>
      </c>
      <c r="O60" s="513">
        <f t="shared" ca="1" si="6"/>
        <v>121</v>
      </c>
      <c r="P60" s="434">
        <v>1</v>
      </c>
      <c r="Q60" s="409" t="s">
        <v>2529</v>
      </c>
    </row>
    <row r="61" spans="2:17" s="1" customFormat="1" ht="40.15" customHeight="1" x14ac:dyDescent="0.2">
      <c r="B61" s="406">
        <v>41682</v>
      </c>
      <c r="C61" s="595" t="s">
        <v>2351</v>
      </c>
      <c r="D61" s="408" t="s">
        <v>2541</v>
      </c>
      <c r="E61" s="408" t="s">
        <v>2432</v>
      </c>
      <c r="F61" s="407" t="s">
        <v>2542</v>
      </c>
      <c r="G61" s="408" t="s">
        <v>2543</v>
      </c>
      <c r="H61" s="408" t="s">
        <v>2544</v>
      </c>
      <c r="I61" s="408" t="s">
        <v>2545</v>
      </c>
      <c r="J61" s="573">
        <f t="shared" ref="J61:J66" si="9">126000/6</f>
        <v>21000</v>
      </c>
      <c r="K61" s="573">
        <v>43.1</v>
      </c>
      <c r="L61" s="609">
        <f t="shared" si="7"/>
        <v>487.23897911832944</v>
      </c>
      <c r="M61" s="408">
        <v>60</v>
      </c>
      <c r="N61" s="415">
        <f t="shared" si="8"/>
        <v>350</v>
      </c>
      <c r="O61" s="513">
        <f t="shared" ca="1" si="6"/>
        <v>121</v>
      </c>
      <c r="P61" s="434">
        <v>1</v>
      </c>
      <c r="Q61" s="409" t="s">
        <v>370</v>
      </c>
    </row>
    <row r="62" spans="2:17" s="1" customFormat="1" ht="40.15" customHeight="1" x14ac:dyDescent="0.2">
      <c r="B62" s="406">
        <v>41683</v>
      </c>
      <c r="C62" s="595" t="s">
        <v>2351</v>
      </c>
      <c r="D62" s="408" t="s">
        <v>2541</v>
      </c>
      <c r="E62" s="408" t="s">
        <v>2435</v>
      </c>
      <c r="F62" s="407" t="s">
        <v>2542</v>
      </c>
      <c r="G62" s="408" t="s">
        <v>2546</v>
      </c>
      <c r="H62" s="408" t="s">
        <v>2527</v>
      </c>
      <c r="I62" s="408" t="s">
        <v>2528</v>
      </c>
      <c r="J62" s="573">
        <f t="shared" si="9"/>
        <v>21000</v>
      </c>
      <c r="K62" s="573">
        <v>43.1</v>
      </c>
      <c r="L62" s="609">
        <f t="shared" si="7"/>
        <v>487.23897911832944</v>
      </c>
      <c r="M62" s="408">
        <v>60</v>
      </c>
      <c r="N62" s="415">
        <f t="shared" si="8"/>
        <v>350</v>
      </c>
      <c r="O62" s="513">
        <f t="shared" ca="1" si="6"/>
        <v>121</v>
      </c>
      <c r="P62" s="434">
        <v>1</v>
      </c>
      <c r="Q62" s="409" t="s">
        <v>370</v>
      </c>
    </row>
    <row r="63" spans="2:17" s="1" customFormat="1" ht="40.15" customHeight="1" x14ac:dyDescent="0.2">
      <c r="B63" s="406">
        <v>41683</v>
      </c>
      <c r="C63" s="595" t="s">
        <v>2351</v>
      </c>
      <c r="D63" s="408" t="s">
        <v>2541</v>
      </c>
      <c r="E63" s="408" t="s">
        <v>2438</v>
      </c>
      <c r="F63" s="407" t="s">
        <v>2542</v>
      </c>
      <c r="G63" s="408" t="s">
        <v>2547</v>
      </c>
      <c r="H63" s="408" t="s">
        <v>2548</v>
      </c>
      <c r="I63" s="408" t="s">
        <v>2390</v>
      </c>
      <c r="J63" s="573">
        <f t="shared" si="9"/>
        <v>21000</v>
      </c>
      <c r="K63" s="573">
        <v>43.1</v>
      </c>
      <c r="L63" s="609">
        <f t="shared" si="7"/>
        <v>487.23897911832944</v>
      </c>
      <c r="M63" s="408">
        <v>60</v>
      </c>
      <c r="N63" s="415">
        <f t="shared" si="8"/>
        <v>350</v>
      </c>
      <c r="O63" s="513">
        <f t="shared" ca="1" si="6"/>
        <v>121</v>
      </c>
      <c r="P63" s="434">
        <v>1</v>
      </c>
      <c r="Q63" s="409" t="s">
        <v>370</v>
      </c>
    </row>
    <row r="64" spans="2:17" s="1" customFormat="1" ht="40.15" customHeight="1" x14ac:dyDescent="0.2">
      <c r="B64" s="406">
        <v>41683</v>
      </c>
      <c r="C64" s="595" t="s">
        <v>2351</v>
      </c>
      <c r="D64" s="408" t="s">
        <v>2541</v>
      </c>
      <c r="E64" s="408" t="s">
        <v>2441</v>
      </c>
      <c r="F64" s="407" t="s">
        <v>2542</v>
      </c>
      <c r="G64" s="408" t="s">
        <v>2549</v>
      </c>
      <c r="H64" s="408" t="s">
        <v>2516</v>
      </c>
      <c r="I64" s="408" t="s">
        <v>2517</v>
      </c>
      <c r="J64" s="573">
        <f t="shared" si="9"/>
        <v>21000</v>
      </c>
      <c r="K64" s="573">
        <v>43.1</v>
      </c>
      <c r="L64" s="609">
        <f t="shared" si="7"/>
        <v>487.23897911832944</v>
      </c>
      <c r="M64" s="408">
        <v>60</v>
      </c>
      <c r="N64" s="415">
        <f t="shared" si="8"/>
        <v>350</v>
      </c>
      <c r="O64" s="513">
        <f t="shared" ca="1" si="6"/>
        <v>121</v>
      </c>
      <c r="P64" s="434">
        <v>1</v>
      </c>
      <c r="Q64" s="409" t="s">
        <v>370</v>
      </c>
    </row>
    <row r="65" spans="2:17" s="1" customFormat="1" ht="40.15" customHeight="1" x14ac:dyDescent="0.2">
      <c r="B65" s="406">
        <v>41683</v>
      </c>
      <c r="C65" s="595" t="s">
        <v>2351</v>
      </c>
      <c r="D65" s="408" t="s">
        <v>2541</v>
      </c>
      <c r="E65" s="408" t="s">
        <v>2443</v>
      </c>
      <c r="F65" s="407" t="s">
        <v>2542</v>
      </c>
      <c r="G65" s="408" t="s">
        <v>2550</v>
      </c>
      <c r="H65" s="408" t="s">
        <v>2538</v>
      </c>
      <c r="I65" s="408" t="s">
        <v>2398</v>
      </c>
      <c r="J65" s="573">
        <f t="shared" si="9"/>
        <v>21000</v>
      </c>
      <c r="K65" s="573">
        <v>43.1</v>
      </c>
      <c r="L65" s="609">
        <f t="shared" si="7"/>
        <v>487.23897911832944</v>
      </c>
      <c r="M65" s="408">
        <v>60</v>
      </c>
      <c r="N65" s="415">
        <f t="shared" si="8"/>
        <v>350</v>
      </c>
      <c r="O65" s="513">
        <f t="shared" ca="1" si="6"/>
        <v>121</v>
      </c>
      <c r="P65" s="434">
        <v>1</v>
      </c>
      <c r="Q65" s="409" t="s">
        <v>370</v>
      </c>
    </row>
    <row r="66" spans="2:17" s="1" customFormat="1" ht="40.15" customHeight="1" x14ac:dyDescent="0.2">
      <c r="B66" s="406">
        <v>41683</v>
      </c>
      <c r="C66" s="595" t="s">
        <v>2351</v>
      </c>
      <c r="D66" s="408" t="s">
        <v>2541</v>
      </c>
      <c r="E66" s="408" t="s">
        <v>2551</v>
      </c>
      <c r="F66" s="407" t="s">
        <v>2542</v>
      </c>
      <c r="G66" s="408" t="s">
        <v>2552</v>
      </c>
      <c r="H66" s="408" t="s">
        <v>2540</v>
      </c>
      <c r="I66" s="408" t="s">
        <v>2386</v>
      </c>
      <c r="J66" s="573">
        <f t="shared" si="9"/>
        <v>21000</v>
      </c>
      <c r="K66" s="573">
        <v>43.1</v>
      </c>
      <c r="L66" s="609">
        <f t="shared" si="7"/>
        <v>487.23897911832944</v>
      </c>
      <c r="M66" s="408">
        <v>60</v>
      </c>
      <c r="N66" s="415">
        <f t="shared" si="8"/>
        <v>350</v>
      </c>
      <c r="O66" s="513">
        <f t="shared" ca="1" si="6"/>
        <v>121</v>
      </c>
      <c r="P66" s="434">
        <v>1</v>
      </c>
      <c r="Q66" s="409" t="s">
        <v>370</v>
      </c>
    </row>
    <row r="67" spans="2:17" s="1" customFormat="1" ht="40.15" customHeight="1" x14ac:dyDescent="0.2">
      <c r="B67" s="406">
        <v>41683</v>
      </c>
      <c r="C67" s="595" t="s">
        <v>2351</v>
      </c>
      <c r="D67" s="408" t="s">
        <v>2541</v>
      </c>
      <c r="E67" s="408" t="s">
        <v>2446</v>
      </c>
      <c r="F67" s="407" t="s">
        <v>2553</v>
      </c>
      <c r="G67" s="425" t="s">
        <v>2554</v>
      </c>
      <c r="H67" s="408" t="s">
        <v>2544</v>
      </c>
      <c r="I67" s="408" t="s">
        <v>2545</v>
      </c>
      <c r="J67" s="573">
        <f>14300/11</f>
        <v>1300</v>
      </c>
      <c r="K67" s="573">
        <v>43.1</v>
      </c>
      <c r="L67" s="609">
        <f t="shared" si="7"/>
        <v>30.162412993039442</v>
      </c>
      <c r="M67" s="408">
        <v>36</v>
      </c>
      <c r="N67" s="415">
        <f t="shared" si="8"/>
        <v>36.111111111111114</v>
      </c>
      <c r="O67" s="513">
        <f t="shared" ca="1" si="6"/>
        <v>121</v>
      </c>
      <c r="P67" s="434">
        <v>1</v>
      </c>
      <c r="Q67" s="409" t="s">
        <v>370</v>
      </c>
    </row>
    <row r="68" spans="2:17" s="1" customFormat="1" ht="40.15" customHeight="1" x14ac:dyDescent="0.2">
      <c r="B68" s="406">
        <v>41683</v>
      </c>
      <c r="C68" s="595" t="s">
        <v>2351</v>
      </c>
      <c r="D68" s="408" t="s">
        <v>2541</v>
      </c>
      <c r="E68" s="408" t="s">
        <v>2448</v>
      </c>
      <c r="F68" s="407" t="s">
        <v>2553</v>
      </c>
      <c r="G68" s="425" t="s">
        <v>2555</v>
      </c>
      <c r="H68" s="408" t="s">
        <v>2556</v>
      </c>
      <c r="I68" s="408" t="s">
        <v>2557</v>
      </c>
      <c r="J68" s="573">
        <f t="shared" ref="J68:J77" si="10">14300/11</f>
        <v>1300</v>
      </c>
      <c r="K68" s="573">
        <v>43.1</v>
      </c>
      <c r="L68" s="609">
        <f t="shared" si="7"/>
        <v>30.162412993039442</v>
      </c>
      <c r="M68" s="408">
        <v>36</v>
      </c>
      <c r="N68" s="415">
        <f t="shared" si="8"/>
        <v>36.111111111111114</v>
      </c>
      <c r="O68" s="513">
        <f t="shared" ca="1" si="6"/>
        <v>121</v>
      </c>
      <c r="P68" s="434">
        <v>1</v>
      </c>
      <c r="Q68" s="409" t="s">
        <v>370</v>
      </c>
    </row>
    <row r="69" spans="2:17" s="1" customFormat="1" ht="40.15" customHeight="1" x14ac:dyDescent="0.2">
      <c r="B69" s="406">
        <v>41683</v>
      </c>
      <c r="C69" s="595" t="s">
        <v>2351</v>
      </c>
      <c r="D69" s="408" t="s">
        <v>2541</v>
      </c>
      <c r="E69" s="408" t="s">
        <v>2450</v>
      </c>
      <c r="F69" s="407" t="s">
        <v>2553</v>
      </c>
      <c r="G69" s="425" t="s">
        <v>2558</v>
      </c>
      <c r="H69" s="408" t="s">
        <v>2559</v>
      </c>
      <c r="I69" s="408" t="s">
        <v>2560</v>
      </c>
      <c r="J69" s="573">
        <f t="shared" si="10"/>
        <v>1300</v>
      </c>
      <c r="K69" s="573">
        <v>43.1</v>
      </c>
      <c r="L69" s="609">
        <f t="shared" si="7"/>
        <v>30.162412993039442</v>
      </c>
      <c r="M69" s="408">
        <v>36</v>
      </c>
      <c r="N69" s="415">
        <f t="shared" si="8"/>
        <v>36.111111111111114</v>
      </c>
      <c r="O69" s="513">
        <f t="shared" ca="1" si="6"/>
        <v>121</v>
      </c>
      <c r="P69" s="434">
        <v>1</v>
      </c>
      <c r="Q69" s="409" t="s">
        <v>370</v>
      </c>
    </row>
    <row r="70" spans="2:17" s="1" customFormat="1" ht="40.15" customHeight="1" x14ac:dyDescent="0.2">
      <c r="B70" s="406">
        <v>41683</v>
      </c>
      <c r="C70" s="595" t="s">
        <v>2351</v>
      </c>
      <c r="D70" s="408" t="s">
        <v>2541</v>
      </c>
      <c r="E70" s="408" t="s">
        <v>2454</v>
      </c>
      <c r="F70" s="407" t="s">
        <v>2553</v>
      </c>
      <c r="G70" s="425" t="s">
        <v>2561</v>
      </c>
      <c r="H70" s="408" t="s">
        <v>2532</v>
      </c>
      <c r="I70" s="408" t="s">
        <v>2533</v>
      </c>
      <c r="J70" s="573">
        <f t="shared" si="10"/>
        <v>1300</v>
      </c>
      <c r="K70" s="573">
        <v>43.1</v>
      </c>
      <c r="L70" s="609">
        <f t="shared" si="7"/>
        <v>30.162412993039442</v>
      </c>
      <c r="M70" s="408">
        <v>36</v>
      </c>
      <c r="N70" s="415">
        <f t="shared" si="8"/>
        <v>36.111111111111114</v>
      </c>
      <c r="O70" s="513">
        <f t="shared" ca="1" si="6"/>
        <v>121</v>
      </c>
      <c r="P70" s="434">
        <v>1</v>
      </c>
      <c r="Q70" s="409" t="s">
        <v>370</v>
      </c>
    </row>
    <row r="71" spans="2:17" s="1" customFormat="1" ht="40.15" customHeight="1" x14ac:dyDescent="0.2">
      <c r="B71" s="406">
        <v>41683</v>
      </c>
      <c r="C71" s="595" t="s">
        <v>2351</v>
      </c>
      <c r="D71" s="408" t="s">
        <v>2541</v>
      </c>
      <c r="E71" s="408" t="s">
        <v>2456</v>
      </c>
      <c r="F71" s="407" t="s">
        <v>2553</v>
      </c>
      <c r="G71" s="425" t="s">
        <v>2562</v>
      </c>
      <c r="H71" s="408" t="s">
        <v>2532</v>
      </c>
      <c r="I71" s="408" t="s">
        <v>2533</v>
      </c>
      <c r="J71" s="573">
        <f t="shared" si="10"/>
        <v>1300</v>
      </c>
      <c r="K71" s="573">
        <v>43.1</v>
      </c>
      <c r="L71" s="609">
        <f t="shared" si="7"/>
        <v>30.162412993039442</v>
      </c>
      <c r="M71" s="408">
        <v>36</v>
      </c>
      <c r="N71" s="415">
        <f t="shared" si="8"/>
        <v>36.111111111111114</v>
      </c>
      <c r="O71" s="513">
        <f t="shared" ref="O71:O102" ca="1" si="11">IF(B71&lt;&gt;0,(ROUND((NOW()-B71)/30,0)),0)</f>
        <v>121</v>
      </c>
      <c r="P71" s="434">
        <v>1</v>
      </c>
      <c r="Q71" s="409" t="s">
        <v>370</v>
      </c>
    </row>
    <row r="72" spans="2:17" s="1" customFormat="1" ht="40.15" customHeight="1" x14ac:dyDescent="0.2">
      <c r="B72" s="406">
        <v>41683</v>
      </c>
      <c r="C72" s="595" t="s">
        <v>2351</v>
      </c>
      <c r="D72" s="408" t="s">
        <v>2541</v>
      </c>
      <c r="E72" s="408" t="s">
        <v>2563</v>
      </c>
      <c r="F72" s="407" t="s">
        <v>2553</v>
      </c>
      <c r="G72" s="425" t="s">
        <v>2564</v>
      </c>
      <c r="H72" s="408" t="s">
        <v>2516</v>
      </c>
      <c r="I72" s="408" t="s">
        <v>2517</v>
      </c>
      <c r="J72" s="573">
        <f t="shared" si="10"/>
        <v>1300</v>
      </c>
      <c r="K72" s="573">
        <v>43.1</v>
      </c>
      <c r="L72" s="609">
        <f t="shared" si="7"/>
        <v>30.162412993039442</v>
      </c>
      <c r="M72" s="408">
        <v>36</v>
      </c>
      <c r="N72" s="415">
        <f t="shared" si="8"/>
        <v>36.111111111111114</v>
      </c>
      <c r="O72" s="513">
        <f t="shared" ca="1" si="11"/>
        <v>121</v>
      </c>
      <c r="P72" s="434">
        <v>1</v>
      </c>
      <c r="Q72" s="409" t="s">
        <v>370</v>
      </c>
    </row>
    <row r="73" spans="2:17" s="1" customFormat="1" ht="40.15" customHeight="1" x14ac:dyDescent="0.2">
      <c r="B73" s="406">
        <v>41683</v>
      </c>
      <c r="C73" s="595" t="s">
        <v>2351</v>
      </c>
      <c r="D73" s="408" t="s">
        <v>2541</v>
      </c>
      <c r="E73" s="408" t="s">
        <v>2460</v>
      </c>
      <c r="F73" s="407" t="s">
        <v>2553</v>
      </c>
      <c r="G73" s="425" t="s">
        <v>2565</v>
      </c>
      <c r="H73" s="408" t="s">
        <v>2516</v>
      </c>
      <c r="I73" s="408" t="s">
        <v>2517</v>
      </c>
      <c r="J73" s="573">
        <f t="shared" si="10"/>
        <v>1300</v>
      </c>
      <c r="K73" s="573">
        <v>43.1</v>
      </c>
      <c r="L73" s="609">
        <f t="shared" si="7"/>
        <v>30.162412993039442</v>
      </c>
      <c r="M73" s="408">
        <v>36</v>
      </c>
      <c r="N73" s="415">
        <f t="shared" si="8"/>
        <v>36.111111111111114</v>
      </c>
      <c r="O73" s="513">
        <f t="shared" ca="1" si="11"/>
        <v>121</v>
      </c>
      <c r="P73" s="434">
        <v>1</v>
      </c>
      <c r="Q73" s="409" t="s">
        <v>370</v>
      </c>
    </row>
    <row r="74" spans="2:17" s="1" customFormat="1" ht="40.15" customHeight="1" x14ac:dyDescent="0.2">
      <c r="B74" s="406">
        <v>41683</v>
      </c>
      <c r="C74" s="595" t="s">
        <v>2351</v>
      </c>
      <c r="D74" s="408" t="s">
        <v>2541</v>
      </c>
      <c r="E74" s="408" t="s">
        <v>2566</v>
      </c>
      <c r="F74" s="407" t="s">
        <v>2553</v>
      </c>
      <c r="G74" s="425" t="s">
        <v>2567</v>
      </c>
      <c r="H74" s="408" t="s">
        <v>2538</v>
      </c>
      <c r="I74" s="408" t="s">
        <v>2398</v>
      </c>
      <c r="J74" s="573">
        <f t="shared" si="10"/>
        <v>1300</v>
      </c>
      <c r="K74" s="573">
        <v>43.1</v>
      </c>
      <c r="L74" s="609">
        <f t="shared" si="7"/>
        <v>30.162412993039442</v>
      </c>
      <c r="M74" s="408">
        <v>36</v>
      </c>
      <c r="N74" s="415">
        <f t="shared" si="8"/>
        <v>36.111111111111114</v>
      </c>
      <c r="O74" s="513">
        <f t="shared" ca="1" si="11"/>
        <v>121</v>
      </c>
      <c r="P74" s="434">
        <v>1</v>
      </c>
      <c r="Q74" s="409" t="s">
        <v>370</v>
      </c>
    </row>
    <row r="75" spans="2:17" s="1" customFormat="1" ht="40.15" customHeight="1" x14ac:dyDescent="0.2">
      <c r="B75" s="406">
        <v>41683</v>
      </c>
      <c r="C75" s="595" t="s">
        <v>2351</v>
      </c>
      <c r="D75" s="408" t="s">
        <v>2541</v>
      </c>
      <c r="E75" s="408" t="s">
        <v>2468</v>
      </c>
      <c r="F75" s="407" t="s">
        <v>2553</v>
      </c>
      <c r="G75" s="425" t="s">
        <v>2568</v>
      </c>
      <c r="H75" s="408" t="s">
        <v>2538</v>
      </c>
      <c r="I75" s="408" t="s">
        <v>2398</v>
      </c>
      <c r="J75" s="573">
        <f t="shared" si="10"/>
        <v>1300</v>
      </c>
      <c r="K75" s="573">
        <v>43.1</v>
      </c>
      <c r="L75" s="609">
        <f t="shared" si="7"/>
        <v>30.162412993039442</v>
      </c>
      <c r="M75" s="408">
        <v>36</v>
      </c>
      <c r="N75" s="415">
        <f t="shared" si="8"/>
        <v>36.111111111111114</v>
      </c>
      <c r="O75" s="513">
        <f t="shared" ca="1" si="11"/>
        <v>121</v>
      </c>
      <c r="P75" s="434">
        <v>1</v>
      </c>
      <c r="Q75" s="409" t="s">
        <v>370</v>
      </c>
    </row>
    <row r="76" spans="2:17" s="1" customFormat="1" ht="40.15" customHeight="1" x14ac:dyDescent="0.2">
      <c r="B76" s="406">
        <v>41683</v>
      </c>
      <c r="C76" s="595" t="s">
        <v>2351</v>
      </c>
      <c r="D76" s="408" t="s">
        <v>2541</v>
      </c>
      <c r="E76" s="408" t="s">
        <v>2472</v>
      </c>
      <c r="F76" s="407" t="s">
        <v>2553</v>
      </c>
      <c r="G76" s="425" t="s">
        <v>2569</v>
      </c>
      <c r="H76" s="408" t="s">
        <v>2540</v>
      </c>
      <c r="I76" s="408" t="s">
        <v>2386</v>
      </c>
      <c r="J76" s="573">
        <f t="shared" si="10"/>
        <v>1300</v>
      </c>
      <c r="K76" s="573">
        <v>43.1</v>
      </c>
      <c r="L76" s="609">
        <f t="shared" si="7"/>
        <v>30.162412993039442</v>
      </c>
      <c r="M76" s="408">
        <v>36</v>
      </c>
      <c r="N76" s="415">
        <f t="shared" si="8"/>
        <v>36.111111111111114</v>
      </c>
      <c r="O76" s="513">
        <f t="shared" ca="1" si="11"/>
        <v>121</v>
      </c>
      <c r="P76" s="434">
        <v>1</v>
      </c>
      <c r="Q76" s="409" t="s">
        <v>370</v>
      </c>
    </row>
    <row r="77" spans="2:17" s="1" customFormat="1" ht="40.15" customHeight="1" x14ac:dyDescent="0.2">
      <c r="B77" s="406">
        <v>41683</v>
      </c>
      <c r="C77" s="595" t="s">
        <v>2351</v>
      </c>
      <c r="D77" s="408" t="s">
        <v>2541</v>
      </c>
      <c r="E77" s="408" t="s">
        <v>2474</v>
      </c>
      <c r="F77" s="407" t="s">
        <v>2553</v>
      </c>
      <c r="G77" s="425" t="s">
        <v>2570</v>
      </c>
      <c r="H77" s="408" t="s">
        <v>2540</v>
      </c>
      <c r="I77" s="408" t="s">
        <v>2386</v>
      </c>
      <c r="J77" s="573">
        <f t="shared" si="10"/>
        <v>1300</v>
      </c>
      <c r="K77" s="573">
        <v>43.1</v>
      </c>
      <c r="L77" s="609">
        <f t="shared" si="7"/>
        <v>30.162412993039442</v>
      </c>
      <c r="M77" s="408">
        <v>36</v>
      </c>
      <c r="N77" s="415">
        <f t="shared" si="8"/>
        <v>36.111111111111114</v>
      </c>
      <c r="O77" s="513">
        <f t="shared" ca="1" si="11"/>
        <v>121</v>
      </c>
      <c r="P77" s="434">
        <v>1</v>
      </c>
      <c r="Q77" s="409" t="s">
        <v>370</v>
      </c>
    </row>
    <row r="78" spans="2:17" s="1" customFormat="1" ht="40.15" customHeight="1" x14ac:dyDescent="0.2">
      <c r="B78" s="406">
        <v>41683</v>
      </c>
      <c r="C78" s="595" t="s">
        <v>2351</v>
      </c>
      <c r="D78" s="408" t="s">
        <v>2541</v>
      </c>
      <c r="E78" s="408" t="s">
        <v>2476</v>
      </c>
      <c r="F78" s="407" t="s">
        <v>2571</v>
      </c>
      <c r="G78" s="408" t="s">
        <v>28</v>
      </c>
      <c r="H78" s="408" t="s">
        <v>2516</v>
      </c>
      <c r="I78" s="408" t="s">
        <v>2517</v>
      </c>
      <c r="J78" s="573">
        <f>4749.91/5</f>
        <v>949.98199999999997</v>
      </c>
      <c r="K78" s="573">
        <v>43.1</v>
      </c>
      <c r="L78" s="609">
        <f t="shared" si="7"/>
        <v>22.04134570765661</v>
      </c>
      <c r="M78" s="408">
        <v>60</v>
      </c>
      <c r="N78" s="415">
        <f t="shared" si="8"/>
        <v>15.833033333333333</v>
      </c>
      <c r="O78" s="513">
        <f t="shared" ca="1" si="11"/>
        <v>121</v>
      </c>
      <c r="P78" s="434">
        <v>1</v>
      </c>
      <c r="Q78" s="409" t="s">
        <v>370</v>
      </c>
    </row>
    <row r="79" spans="2:17" s="1" customFormat="1" ht="40.15" customHeight="1" x14ac:dyDescent="0.2">
      <c r="B79" s="406">
        <v>41683</v>
      </c>
      <c r="C79" s="595" t="s">
        <v>2351</v>
      </c>
      <c r="D79" s="408" t="s">
        <v>2541</v>
      </c>
      <c r="E79" s="408" t="s">
        <v>2478</v>
      </c>
      <c r="F79" s="407" t="s">
        <v>2571</v>
      </c>
      <c r="G79" s="408" t="s">
        <v>28</v>
      </c>
      <c r="H79" s="408" t="s">
        <v>2516</v>
      </c>
      <c r="I79" s="408" t="s">
        <v>2517</v>
      </c>
      <c r="J79" s="573">
        <f>4749.91/5</f>
        <v>949.98199999999997</v>
      </c>
      <c r="K79" s="573">
        <v>43.1</v>
      </c>
      <c r="L79" s="609">
        <f t="shared" si="7"/>
        <v>22.04134570765661</v>
      </c>
      <c r="M79" s="408">
        <v>60</v>
      </c>
      <c r="N79" s="415">
        <f t="shared" si="8"/>
        <v>15.833033333333333</v>
      </c>
      <c r="O79" s="513">
        <f t="shared" ca="1" si="11"/>
        <v>121</v>
      </c>
      <c r="P79" s="434">
        <v>1</v>
      </c>
      <c r="Q79" s="409" t="s">
        <v>370</v>
      </c>
    </row>
    <row r="80" spans="2:17" s="1" customFormat="1" ht="40.15" customHeight="1" x14ac:dyDescent="0.2">
      <c r="B80" s="406">
        <v>41683</v>
      </c>
      <c r="C80" s="595" t="s">
        <v>2351</v>
      </c>
      <c r="D80" s="408" t="s">
        <v>2541</v>
      </c>
      <c r="E80" s="408" t="s">
        <v>2481</v>
      </c>
      <c r="F80" s="407" t="s">
        <v>2571</v>
      </c>
      <c r="G80" s="408" t="s">
        <v>28</v>
      </c>
      <c r="H80" s="408" t="s">
        <v>2540</v>
      </c>
      <c r="I80" s="408" t="s">
        <v>2386</v>
      </c>
      <c r="J80" s="573">
        <f>4749.91/5</f>
        <v>949.98199999999997</v>
      </c>
      <c r="K80" s="573">
        <v>43.1</v>
      </c>
      <c r="L80" s="609">
        <f t="shared" si="7"/>
        <v>22.04134570765661</v>
      </c>
      <c r="M80" s="408">
        <v>60</v>
      </c>
      <c r="N80" s="415">
        <f t="shared" si="8"/>
        <v>15.833033333333333</v>
      </c>
      <c r="O80" s="513">
        <f t="shared" ca="1" si="11"/>
        <v>121</v>
      </c>
      <c r="P80" s="434">
        <v>1</v>
      </c>
      <c r="Q80" s="409" t="s">
        <v>370</v>
      </c>
    </row>
    <row r="81" spans="2:17" s="1" customFormat="1" ht="40.15" customHeight="1" x14ac:dyDescent="0.2">
      <c r="B81" s="406">
        <v>41683</v>
      </c>
      <c r="C81" s="595" t="s">
        <v>2351</v>
      </c>
      <c r="D81" s="408" t="s">
        <v>2541</v>
      </c>
      <c r="E81" s="408" t="s">
        <v>2483</v>
      </c>
      <c r="F81" s="407" t="s">
        <v>2571</v>
      </c>
      <c r="G81" s="408" t="s">
        <v>28</v>
      </c>
      <c r="H81" s="408" t="s">
        <v>2540</v>
      </c>
      <c r="I81" s="408" t="s">
        <v>2386</v>
      </c>
      <c r="J81" s="573">
        <f>4749.91/5</f>
        <v>949.98199999999997</v>
      </c>
      <c r="K81" s="573">
        <v>43.1</v>
      </c>
      <c r="L81" s="609">
        <f t="shared" si="7"/>
        <v>22.04134570765661</v>
      </c>
      <c r="M81" s="408">
        <v>60</v>
      </c>
      <c r="N81" s="415">
        <f t="shared" si="8"/>
        <v>15.833033333333333</v>
      </c>
      <c r="O81" s="513">
        <f t="shared" ca="1" si="11"/>
        <v>121</v>
      </c>
      <c r="P81" s="434">
        <v>1</v>
      </c>
      <c r="Q81" s="409" t="s">
        <v>370</v>
      </c>
    </row>
    <row r="82" spans="2:17" s="1" customFormat="1" ht="40.15" customHeight="1" x14ac:dyDescent="0.2">
      <c r="B82" s="406">
        <v>41683</v>
      </c>
      <c r="C82" s="595" t="s">
        <v>2351</v>
      </c>
      <c r="D82" s="408" t="s">
        <v>2541</v>
      </c>
      <c r="E82" s="408" t="s">
        <v>2572</v>
      </c>
      <c r="F82" s="407" t="s">
        <v>2571</v>
      </c>
      <c r="G82" s="408" t="s">
        <v>28</v>
      </c>
      <c r="H82" s="408" t="s">
        <v>2540</v>
      </c>
      <c r="I82" s="408" t="s">
        <v>2386</v>
      </c>
      <c r="J82" s="573">
        <f>4749.91/5</f>
        <v>949.98199999999997</v>
      </c>
      <c r="K82" s="573">
        <v>43.1</v>
      </c>
      <c r="L82" s="609">
        <f t="shared" si="7"/>
        <v>22.04134570765661</v>
      </c>
      <c r="M82" s="408">
        <v>60</v>
      </c>
      <c r="N82" s="415">
        <f t="shared" si="8"/>
        <v>15.833033333333333</v>
      </c>
      <c r="O82" s="513">
        <f t="shared" ca="1" si="11"/>
        <v>121</v>
      </c>
      <c r="P82" s="434">
        <v>1</v>
      </c>
      <c r="Q82" s="409" t="s">
        <v>370</v>
      </c>
    </row>
    <row r="83" spans="2:17" s="1" customFormat="1" ht="40.15" customHeight="1" x14ac:dyDescent="0.2">
      <c r="B83" s="406">
        <v>41691</v>
      </c>
      <c r="C83" s="595" t="s">
        <v>2351</v>
      </c>
      <c r="D83" s="408" t="s">
        <v>2573</v>
      </c>
      <c r="E83" s="408" t="s">
        <v>2574</v>
      </c>
      <c r="F83" s="407" t="s">
        <v>2575</v>
      </c>
      <c r="G83" s="408" t="s">
        <v>2576</v>
      </c>
      <c r="H83" s="408" t="s">
        <v>2544</v>
      </c>
      <c r="I83" s="408" t="s">
        <v>2545</v>
      </c>
      <c r="J83" s="573">
        <f>63281.87/10</f>
        <v>6328.1869999999999</v>
      </c>
      <c r="K83" s="573">
        <v>43.17</v>
      </c>
      <c r="L83" s="609">
        <f t="shared" si="7"/>
        <v>146.5876071345842</v>
      </c>
      <c r="M83" s="408">
        <v>36</v>
      </c>
      <c r="N83" s="415">
        <f t="shared" si="8"/>
        <v>175.78297222222221</v>
      </c>
      <c r="O83" s="513">
        <f t="shared" ca="1" si="11"/>
        <v>120</v>
      </c>
      <c r="P83" s="434">
        <v>1</v>
      </c>
      <c r="Q83" s="409" t="s">
        <v>2577</v>
      </c>
    </row>
    <row r="84" spans="2:17" s="1" customFormat="1" ht="40.15" customHeight="1" x14ac:dyDescent="0.2">
      <c r="B84" s="406">
        <v>41691</v>
      </c>
      <c r="C84" s="595" t="s">
        <v>2351</v>
      </c>
      <c r="D84" s="408" t="s">
        <v>2573</v>
      </c>
      <c r="E84" s="408" t="s">
        <v>2578</v>
      </c>
      <c r="F84" s="407" t="s">
        <v>2575</v>
      </c>
      <c r="G84" s="408" t="s">
        <v>2579</v>
      </c>
      <c r="H84" s="408" t="s">
        <v>2580</v>
      </c>
      <c r="I84" s="408" t="s">
        <v>2581</v>
      </c>
      <c r="J84" s="573">
        <f t="shared" ref="J84:J92" si="12">63281.87/10</f>
        <v>6328.1869999999999</v>
      </c>
      <c r="K84" s="573">
        <v>43.17</v>
      </c>
      <c r="L84" s="609">
        <f t="shared" ref="L84:L100" si="13">+J84/K84</f>
        <v>146.5876071345842</v>
      </c>
      <c r="M84" s="408">
        <v>36</v>
      </c>
      <c r="N84" s="415">
        <f t="shared" ref="N84:N100" si="14">IF(AND(J84&lt;&gt;0,M84&lt;&gt;0),J84/M84,0)</f>
        <v>175.78297222222221</v>
      </c>
      <c r="O84" s="513">
        <f t="shared" ca="1" si="11"/>
        <v>120</v>
      </c>
      <c r="P84" s="434">
        <v>1</v>
      </c>
      <c r="Q84" s="409" t="s">
        <v>2577</v>
      </c>
    </row>
    <row r="85" spans="2:17" s="1" customFormat="1" ht="32.25" customHeight="1" x14ac:dyDescent="0.2">
      <c r="B85" s="406">
        <v>41691</v>
      </c>
      <c r="C85" s="595" t="s">
        <v>2351</v>
      </c>
      <c r="D85" s="408" t="s">
        <v>2573</v>
      </c>
      <c r="E85" s="408" t="s">
        <v>2582</v>
      </c>
      <c r="F85" s="407" t="s">
        <v>2575</v>
      </c>
      <c r="G85" s="408" t="s">
        <v>2583</v>
      </c>
      <c r="H85" s="408" t="s">
        <v>2556</v>
      </c>
      <c r="I85" s="408" t="s">
        <v>2557</v>
      </c>
      <c r="J85" s="573">
        <f t="shared" si="12"/>
        <v>6328.1869999999999</v>
      </c>
      <c r="K85" s="573">
        <v>43.17</v>
      </c>
      <c r="L85" s="609">
        <f t="shared" si="13"/>
        <v>146.5876071345842</v>
      </c>
      <c r="M85" s="408">
        <v>36</v>
      </c>
      <c r="N85" s="415">
        <f t="shared" si="14"/>
        <v>175.78297222222221</v>
      </c>
      <c r="O85" s="513">
        <f t="shared" ca="1" si="11"/>
        <v>120</v>
      </c>
      <c r="P85" s="434">
        <v>1</v>
      </c>
      <c r="Q85" s="409" t="s">
        <v>2577</v>
      </c>
    </row>
    <row r="86" spans="2:17" s="1" customFormat="1" ht="27" customHeight="1" x14ac:dyDescent="0.2">
      <c r="B86" s="406">
        <v>41691</v>
      </c>
      <c r="C86" s="595" t="s">
        <v>2351</v>
      </c>
      <c r="D86" s="408" t="s">
        <v>2573</v>
      </c>
      <c r="E86" s="408" t="s">
        <v>2584</v>
      </c>
      <c r="F86" s="407" t="s">
        <v>2575</v>
      </c>
      <c r="G86" s="408" t="s">
        <v>2585</v>
      </c>
      <c r="H86" s="408" t="s">
        <v>2559</v>
      </c>
      <c r="I86" s="408" t="s">
        <v>2560</v>
      </c>
      <c r="J86" s="573">
        <f t="shared" si="12"/>
        <v>6328.1869999999999</v>
      </c>
      <c r="K86" s="573">
        <v>43.17</v>
      </c>
      <c r="L86" s="609">
        <f t="shared" si="13"/>
        <v>146.5876071345842</v>
      </c>
      <c r="M86" s="408">
        <v>36</v>
      </c>
      <c r="N86" s="415">
        <f t="shared" si="14"/>
        <v>175.78297222222221</v>
      </c>
      <c r="O86" s="513">
        <f t="shared" ca="1" si="11"/>
        <v>120</v>
      </c>
      <c r="P86" s="434">
        <v>1</v>
      </c>
      <c r="Q86" s="409" t="s">
        <v>2577</v>
      </c>
    </row>
    <row r="87" spans="2:17" s="1" customFormat="1" ht="38.25" customHeight="1" x14ac:dyDescent="0.2">
      <c r="B87" s="406">
        <v>41691</v>
      </c>
      <c r="C87" s="595" t="s">
        <v>2351</v>
      </c>
      <c r="D87" s="408" t="s">
        <v>2573</v>
      </c>
      <c r="E87" s="408" t="s">
        <v>2586</v>
      </c>
      <c r="F87" s="407" t="s">
        <v>2575</v>
      </c>
      <c r="G87" s="408" t="s">
        <v>2587</v>
      </c>
      <c r="H87" s="408" t="s">
        <v>2532</v>
      </c>
      <c r="I87" s="408" t="s">
        <v>2533</v>
      </c>
      <c r="J87" s="573">
        <f t="shared" si="12"/>
        <v>6328.1869999999999</v>
      </c>
      <c r="K87" s="573">
        <v>43.17</v>
      </c>
      <c r="L87" s="609">
        <f t="shared" si="13"/>
        <v>146.5876071345842</v>
      </c>
      <c r="M87" s="408">
        <v>36</v>
      </c>
      <c r="N87" s="415">
        <f t="shared" si="14"/>
        <v>175.78297222222221</v>
      </c>
      <c r="O87" s="513">
        <f t="shared" ca="1" si="11"/>
        <v>120</v>
      </c>
      <c r="P87" s="434">
        <v>1</v>
      </c>
      <c r="Q87" s="409" t="s">
        <v>2577</v>
      </c>
    </row>
    <row r="88" spans="2:17" s="1" customFormat="1" ht="27" customHeight="1" x14ac:dyDescent="0.2">
      <c r="B88" s="406">
        <v>41691</v>
      </c>
      <c r="C88" s="595" t="s">
        <v>2351</v>
      </c>
      <c r="D88" s="408" t="s">
        <v>2573</v>
      </c>
      <c r="E88" s="408" t="s">
        <v>2588</v>
      </c>
      <c r="F88" s="407" t="s">
        <v>2575</v>
      </c>
      <c r="G88" s="408" t="s">
        <v>2589</v>
      </c>
      <c r="H88" s="408" t="s">
        <v>2516</v>
      </c>
      <c r="I88" s="408" t="s">
        <v>2517</v>
      </c>
      <c r="J88" s="573">
        <f t="shared" si="12"/>
        <v>6328.1869999999999</v>
      </c>
      <c r="K88" s="573">
        <v>43.17</v>
      </c>
      <c r="L88" s="609">
        <f t="shared" si="13"/>
        <v>146.5876071345842</v>
      </c>
      <c r="M88" s="408">
        <v>36</v>
      </c>
      <c r="N88" s="415">
        <f t="shared" si="14"/>
        <v>175.78297222222221</v>
      </c>
      <c r="O88" s="513">
        <f t="shared" ca="1" si="11"/>
        <v>120</v>
      </c>
      <c r="P88" s="434">
        <v>1</v>
      </c>
      <c r="Q88" s="409" t="s">
        <v>2577</v>
      </c>
    </row>
    <row r="89" spans="2:17" s="1" customFormat="1" ht="30" customHeight="1" x14ac:dyDescent="0.2">
      <c r="B89" s="406">
        <v>41691</v>
      </c>
      <c r="C89" s="595" t="s">
        <v>2351</v>
      </c>
      <c r="D89" s="408" t="s">
        <v>2573</v>
      </c>
      <c r="E89" s="408" t="s">
        <v>2590</v>
      </c>
      <c r="F89" s="407" t="s">
        <v>2575</v>
      </c>
      <c r="G89" s="408" t="s">
        <v>2591</v>
      </c>
      <c r="H89" s="408" t="s">
        <v>2516</v>
      </c>
      <c r="I89" s="408" t="s">
        <v>2517</v>
      </c>
      <c r="J89" s="573">
        <f t="shared" si="12"/>
        <v>6328.1869999999999</v>
      </c>
      <c r="K89" s="573">
        <v>43.17</v>
      </c>
      <c r="L89" s="609">
        <f t="shared" si="13"/>
        <v>146.5876071345842</v>
      </c>
      <c r="M89" s="408">
        <v>36</v>
      </c>
      <c r="N89" s="415">
        <f t="shared" si="14"/>
        <v>175.78297222222221</v>
      </c>
      <c r="O89" s="513">
        <f t="shared" ca="1" si="11"/>
        <v>120</v>
      </c>
      <c r="P89" s="434">
        <v>1</v>
      </c>
      <c r="Q89" s="409" t="s">
        <v>2577</v>
      </c>
    </row>
    <row r="90" spans="2:17" s="1" customFormat="1" ht="29.25" customHeight="1" x14ac:dyDescent="0.2">
      <c r="B90" s="406">
        <v>41691</v>
      </c>
      <c r="C90" s="595" t="s">
        <v>2351</v>
      </c>
      <c r="D90" s="408" t="s">
        <v>2573</v>
      </c>
      <c r="E90" s="408" t="s">
        <v>2592</v>
      </c>
      <c r="F90" s="407" t="s">
        <v>2575</v>
      </c>
      <c r="G90" s="408" t="s">
        <v>2593</v>
      </c>
      <c r="H90" s="408" t="s">
        <v>2538</v>
      </c>
      <c r="I90" s="408" t="s">
        <v>2398</v>
      </c>
      <c r="J90" s="573">
        <f t="shared" si="12"/>
        <v>6328.1869999999999</v>
      </c>
      <c r="K90" s="573">
        <v>43.17</v>
      </c>
      <c r="L90" s="609">
        <f t="shared" si="13"/>
        <v>146.5876071345842</v>
      </c>
      <c r="M90" s="408">
        <v>36</v>
      </c>
      <c r="N90" s="415">
        <f t="shared" si="14"/>
        <v>175.78297222222221</v>
      </c>
      <c r="O90" s="513">
        <f t="shared" ca="1" si="11"/>
        <v>120</v>
      </c>
      <c r="P90" s="434">
        <v>1</v>
      </c>
      <c r="Q90" s="409" t="s">
        <v>2577</v>
      </c>
    </row>
    <row r="91" spans="2:17" s="1" customFormat="1" ht="30" customHeight="1" x14ac:dyDescent="0.2">
      <c r="B91" s="406">
        <v>41691</v>
      </c>
      <c r="C91" s="595" t="s">
        <v>2351</v>
      </c>
      <c r="D91" s="408" t="s">
        <v>2573</v>
      </c>
      <c r="E91" s="408" t="s">
        <v>2594</v>
      </c>
      <c r="F91" s="407" t="s">
        <v>2575</v>
      </c>
      <c r="G91" s="408" t="s">
        <v>2595</v>
      </c>
      <c r="H91" s="408" t="s">
        <v>2538</v>
      </c>
      <c r="I91" s="408" t="s">
        <v>2398</v>
      </c>
      <c r="J91" s="573">
        <f t="shared" si="12"/>
        <v>6328.1869999999999</v>
      </c>
      <c r="K91" s="573">
        <v>43.17</v>
      </c>
      <c r="L91" s="609">
        <f t="shared" si="13"/>
        <v>146.5876071345842</v>
      </c>
      <c r="M91" s="408">
        <v>36</v>
      </c>
      <c r="N91" s="415">
        <f t="shared" si="14"/>
        <v>175.78297222222221</v>
      </c>
      <c r="O91" s="513">
        <f t="shared" ca="1" si="11"/>
        <v>120</v>
      </c>
      <c r="P91" s="434">
        <v>1</v>
      </c>
      <c r="Q91" s="409" t="s">
        <v>2577</v>
      </c>
    </row>
    <row r="92" spans="2:17" s="1" customFormat="1" ht="31.5" customHeight="1" x14ac:dyDescent="0.2">
      <c r="B92" s="406">
        <v>41691</v>
      </c>
      <c r="C92" s="595" t="s">
        <v>2351</v>
      </c>
      <c r="D92" s="408" t="s">
        <v>2573</v>
      </c>
      <c r="E92" s="408" t="s">
        <v>2509</v>
      </c>
      <c r="F92" s="407" t="s">
        <v>2575</v>
      </c>
      <c r="G92" s="408" t="s">
        <v>2596</v>
      </c>
      <c r="H92" s="408" t="s">
        <v>2540</v>
      </c>
      <c r="I92" s="408" t="s">
        <v>2386</v>
      </c>
      <c r="J92" s="573">
        <f t="shared" si="12"/>
        <v>6328.1869999999999</v>
      </c>
      <c r="K92" s="573">
        <v>43.17</v>
      </c>
      <c r="L92" s="609">
        <f t="shared" si="13"/>
        <v>146.5876071345842</v>
      </c>
      <c r="M92" s="408">
        <v>36</v>
      </c>
      <c r="N92" s="415">
        <f t="shared" si="14"/>
        <v>175.78297222222221</v>
      </c>
      <c r="O92" s="513">
        <f t="shared" ca="1" si="11"/>
        <v>120</v>
      </c>
      <c r="P92" s="434">
        <v>1</v>
      </c>
      <c r="Q92" s="409" t="s">
        <v>2577</v>
      </c>
    </row>
    <row r="93" spans="2:17" s="1" customFormat="1" ht="30" customHeight="1" x14ac:dyDescent="0.2">
      <c r="B93" s="406">
        <v>41715</v>
      </c>
      <c r="C93" s="595" t="s">
        <v>2351</v>
      </c>
      <c r="D93" s="408" t="s">
        <v>2597</v>
      </c>
      <c r="E93" s="408" t="s">
        <v>2598</v>
      </c>
      <c r="F93" s="407" t="s">
        <v>2599</v>
      </c>
      <c r="G93" s="408" t="s">
        <v>2600</v>
      </c>
      <c r="H93" s="408" t="s">
        <v>2527</v>
      </c>
      <c r="I93" s="408" t="s">
        <v>2528</v>
      </c>
      <c r="J93" s="573">
        <f t="shared" ref="J93:J98" si="15">4745.76+854.24</f>
        <v>5600</v>
      </c>
      <c r="K93" s="573">
        <v>43.11</v>
      </c>
      <c r="L93" s="609">
        <f t="shared" si="13"/>
        <v>129.90025516121548</v>
      </c>
      <c r="M93" s="408">
        <v>60</v>
      </c>
      <c r="N93" s="415">
        <f t="shared" si="14"/>
        <v>93.333333333333329</v>
      </c>
      <c r="O93" s="513">
        <f t="shared" ca="1" si="11"/>
        <v>120</v>
      </c>
      <c r="P93" s="434">
        <v>1</v>
      </c>
      <c r="Q93" s="409" t="s">
        <v>370</v>
      </c>
    </row>
    <row r="94" spans="2:17" s="1" customFormat="1" ht="27.75" customHeight="1" x14ac:dyDescent="0.2">
      <c r="B94" s="406">
        <v>41715</v>
      </c>
      <c r="C94" s="595" t="s">
        <v>2351</v>
      </c>
      <c r="D94" s="408" t="s">
        <v>2597</v>
      </c>
      <c r="E94" s="408" t="s">
        <v>2520</v>
      </c>
      <c r="F94" s="407" t="s">
        <v>2599</v>
      </c>
      <c r="G94" s="408" t="s">
        <v>2600</v>
      </c>
      <c r="H94" s="408" t="s">
        <v>2548</v>
      </c>
      <c r="I94" s="408" t="s">
        <v>2390</v>
      </c>
      <c r="J94" s="573">
        <f t="shared" si="15"/>
        <v>5600</v>
      </c>
      <c r="K94" s="573">
        <v>43.11</v>
      </c>
      <c r="L94" s="609">
        <f t="shared" si="13"/>
        <v>129.90025516121548</v>
      </c>
      <c r="M94" s="408">
        <v>60</v>
      </c>
      <c r="N94" s="415">
        <f t="shared" si="14"/>
        <v>93.333333333333329</v>
      </c>
      <c r="O94" s="513">
        <f t="shared" ca="1" si="11"/>
        <v>120</v>
      </c>
      <c r="P94" s="434">
        <v>1</v>
      </c>
      <c r="Q94" s="409" t="s">
        <v>370</v>
      </c>
    </row>
    <row r="95" spans="2:17" s="1" customFormat="1" ht="40.15" customHeight="1" x14ac:dyDescent="0.2">
      <c r="B95" s="406">
        <v>41715</v>
      </c>
      <c r="C95" s="595" t="s">
        <v>2351</v>
      </c>
      <c r="D95" s="408" t="s">
        <v>2597</v>
      </c>
      <c r="E95" s="408" t="s">
        <v>2601</v>
      </c>
      <c r="F95" s="407" t="s">
        <v>2599</v>
      </c>
      <c r="G95" s="408" t="s">
        <v>2600</v>
      </c>
      <c r="H95" s="408" t="s">
        <v>2532</v>
      </c>
      <c r="I95" s="408" t="s">
        <v>2533</v>
      </c>
      <c r="J95" s="573">
        <f t="shared" si="15"/>
        <v>5600</v>
      </c>
      <c r="K95" s="573">
        <v>43.11</v>
      </c>
      <c r="L95" s="609">
        <f t="shared" si="13"/>
        <v>129.90025516121548</v>
      </c>
      <c r="M95" s="408">
        <v>60</v>
      </c>
      <c r="N95" s="415">
        <f t="shared" si="14"/>
        <v>93.333333333333329</v>
      </c>
      <c r="O95" s="513">
        <f t="shared" ca="1" si="11"/>
        <v>120</v>
      </c>
      <c r="P95" s="434">
        <v>1</v>
      </c>
      <c r="Q95" s="409" t="s">
        <v>370</v>
      </c>
    </row>
    <row r="96" spans="2:17" s="1" customFormat="1" ht="40.15" customHeight="1" x14ac:dyDescent="0.2">
      <c r="B96" s="406">
        <v>41715</v>
      </c>
      <c r="C96" s="595" t="s">
        <v>2351</v>
      </c>
      <c r="D96" s="408" t="s">
        <v>2597</v>
      </c>
      <c r="E96" s="408" t="s">
        <v>2602</v>
      </c>
      <c r="F96" s="407" t="s">
        <v>2599</v>
      </c>
      <c r="G96" s="408" t="s">
        <v>2600</v>
      </c>
      <c r="H96" s="408" t="s">
        <v>2516</v>
      </c>
      <c r="I96" s="408" t="s">
        <v>2517</v>
      </c>
      <c r="J96" s="573">
        <f t="shared" si="15"/>
        <v>5600</v>
      </c>
      <c r="K96" s="573">
        <v>43.11</v>
      </c>
      <c r="L96" s="609">
        <f t="shared" si="13"/>
        <v>129.90025516121548</v>
      </c>
      <c r="M96" s="408">
        <v>60</v>
      </c>
      <c r="N96" s="415">
        <f t="shared" si="14"/>
        <v>93.333333333333329</v>
      </c>
      <c r="O96" s="513">
        <f t="shared" ca="1" si="11"/>
        <v>120</v>
      </c>
      <c r="P96" s="434">
        <v>1</v>
      </c>
      <c r="Q96" s="409" t="s">
        <v>370</v>
      </c>
    </row>
    <row r="97" spans="2:17" s="1" customFormat="1" ht="40.15" customHeight="1" x14ac:dyDescent="0.2">
      <c r="B97" s="406">
        <v>41715</v>
      </c>
      <c r="C97" s="595" t="s">
        <v>2351</v>
      </c>
      <c r="D97" s="408" t="s">
        <v>2597</v>
      </c>
      <c r="E97" s="408" t="s">
        <v>2603</v>
      </c>
      <c r="F97" s="407" t="s">
        <v>2599</v>
      </c>
      <c r="G97" s="408" t="s">
        <v>2600</v>
      </c>
      <c r="H97" s="408" t="s">
        <v>2538</v>
      </c>
      <c r="I97" s="408" t="s">
        <v>2398</v>
      </c>
      <c r="J97" s="573">
        <f t="shared" si="15"/>
        <v>5600</v>
      </c>
      <c r="K97" s="573">
        <v>43.11</v>
      </c>
      <c r="L97" s="609">
        <f t="shared" si="13"/>
        <v>129.90025516121548</v>
      </c>
      <c r="M97" s="408">
        <v>60</v>
      </c>
      <c r="N97" s="415">
        <f t="shared" si="14"/>
        <v>93.333333333333329</v>
      </c>
      <c r="O97" s="513">
        <f t="shared" ca="1" si="11"/>
        <v>120</v>
      </c>
      <c r="P97" s="434">
        <v>1</v>
      </c>
      <c r="Q97" s="409" t="s">
        <v>370</v>
      </c>
    </row>
    <row r="98" spans="2:17" s="1" customFormat="1" ht="40.15" customHeight="1" x14ac:dyDescent="0.2">
      <c r="B98" s="406">
        <v>41715</v>
      </c>
      <c r="C98" s="595" t="s">
        <v>2351</v>
      </c>
      <c r="D98" s="408" t="s">
        <v>2597</v>
      </c>
      <c r="E98" s="408" t="s">
        <v>2604</v>
      </c>
      <c r="F98" s="407" t="s">
        <v>2599</v>
      </c>
      <c r="G98" s="408" t="s">
        <v>2600</v>
      </c>
      <c r="H98" s="408" t="s">
        <v>2540</v>
      </c>
      <c r="I98" s="408" t="s">
        <v>2386</v>
      </c>
      <c r="J98" s="573">
        <f t="shared" si="15"/>
        <v>5600</v>
      </c>
      <c r="K98" s="573">
        <v>43.11</v>
      </c>
      <c r="L98" s="609">
        <f t="shared" si="13"/>
        <v>129.90025516121548</v>
      </c>
      <c r="M98" s="408">
        <v>60</v>
      </c>
      <c r="N98" s="415">
        <f t="shared" si="14"/>
        <v>93.333333333333329</v>
      </c>
      <c r="O98" s="513">
        <f t="shared" ca="1" si="11"/>
        <v>120</v>
      </c>
      <c r="P98" s="434">
        <v>1</v>
      </c>
      <c r="Q98" s="409" t="s">
        <v>370</v>
      </c>
    </row>
    <row r="99" spans="2:17" s="1" customFormat="1" ht="54.95" customHeight="1" x14ac:dyDescent="0.2">
      <c r="B99" s="406">
        <v>41729</v>
      </c>
      <c r="C99" s="595" t="s">
        <v>2351</v>
      </c>
      <c r="D99" s="408" t="s">
        <v>2605</v>
      </c>
      <c r="E99" s="408" t="s">
        <v>2606</v>
      </c>
      <c r="F99" s="407" t="s">
        <v>2607</v>
      </c>
      <c r="G99" s="408" t="s">
        <v>2608</v>
      </c>
      <c r="H99" s="408" t="s">
        <v>2544</v>
      </c>
      <c r="I99" s="408" t="s">
        <v>2545</v>
      </c>
      <c r="J99" s="573">
        <f>26916.71*18%+26916.71</f>
        <v>31761.717799999999</v>
      </c>
      <c r="K99" s="573">
        <v>43.058500000000002</v>
      </c>
      <c r="L99" s="609">
        <f t="shared" si="13"/>
        <v>737.64106506264727</v>
      </c>
      <c r="M99" s="408">
        <v>60</v>
      </c>
      <c r="N99" s="415">
        <f t="shared" si="14"/>
        <v>529.36196333333328</v>
      </c>
      <c r="O99" s="513">
        <f t="shared" ca="1" si="11"/>
        <v>119</v>
      </c>
      <c r="P99" s="434">
        <v>1</v>
      </c>
      <c r="Q99" s="409" t="s">
        <v>2609</v>
      </c>
    </row>
    <row r="100" spans="2:17" s="1" customFormat="1" ht="54.95" customHeight="1" x14ac:dyDescent="0.2">
      <c r="B100" s="406">
        <v>41729</v>
      </c>
      <c r="C100" s="595" t="s">
        <v>2351</v>
      </c>
      <c r="D100" s="408" t="s">
        <v>2605</v>
      </c>
      <c r="E100" s="408" t="s">
        <v>2610</v>
      </c>
      <c r="F100" s="407" t="s">
        <v>2607</v>
      </c>
      <c r="G100" s="408" t="s">
        <v>2611</v>
      </c>
      <c r="H100" s="408" t="s">
        <v>2556</v>
      </c>
      <c r="I100" s="408" t="s">
        <v>2557</v>
      </c>
      <c r="J100" s="573">
        <f>26916.71*18%+26916.71</f>
        <v>31761.717799999999</v>
      </c>
      <c r="K100" s="573">
        <v>43.058500000000002</v>
      </c>
      <c r="L100" s="609">
        <f t="shared" si="13"/>
        <v>737.64106506264727</v>
      </c>
      <c r="M100" s="408">
        <v>60</v>
      </c>
      <c r="N100" s="415">
        <f t="shared" si="14"/>
        <v>529.36196333333328</v>
      </c>
      <c r="O100" s="513">
        <f t="shared" ca="1" si="11"/>
        <v>119</v>
      </c>
      <c r="P100" s="434">
        <v>1</v>
      </c>
      <c r="Q100" s="409" t="s">
        <v>2609</v>
      </c>
    </row>
    <row r="101" spans="2:17" s="1" customFormat="1" ht="54.95" customHeight="1" x14ac:dyDescent="0.2">
      <c r="B101" s="406">
        <v>41729</v>
      </c>
      <c r="C101" s="595" t="s">
        <v>2351</v>
      </c>
      <c r="D101" s="408" t="s">
        <v>2605</v>
      </c>
      <c r="E101" s="408" t="s">
        <v>2612</v>
      </c>
      <c r="F101" s="407" t="s">
        <v>2607</v>
      </c>
      <c r="G101" s="408" t="s">
        <v>2613</v>
      </c>
      <c r="H101" s="408" t="s">
        <v>2559</v>
      </c>
      <c r="I101" s="408" t="s">
        <v>2560</v>
      </c>
      <c r="J101" s="573">
        <f t="shared" ref="J101:J108" si="16">26916.71*18%+26916.71</f>
        <v>31761.717799999999</v>
      </c>
      <c r="K101" s="573">
        <v>43.058500000000002</v>
      </c>
      <c r="L101" s="609">
        <f t="shared" ref="L101:L109" si="17">+J101/K101</f>
        <v>737.64106506264727</v>
      </c>
      <c r="M101" s="408">
        <v>60</v>
      </c>
      <c r="N101" s="415">
        <f t="shared" ref="N101:N109" si="18">IF(AND(J101&lt;&gt;0,M101&lt;&gt;0),J101/M101,0)</f>
        <v>529.36196333333328</v>
      </c>
      <c r="O101" s="513">
        <f t="shared" ca="1" si="11"/>
        <v>119</v>
      </c>
      <c r="P101" s="434">
        <v>1</v>
      </c>
      <c r="Q101" s="409" t="s">
        <v>2609</v>
      </c>
    </row>
    <row r="102" spans="2:17" s="1" customFormat="1" ht="54.95" customHeight="1" x14ac:dyDescent="0.2">
      <c r="B102" s="406">
        <v>41729</v>
      </c>
      <c r="C102" s="595" t="s">
        <v>2351</v>
      </c>
      <c r="D102" s="408" t="s">
        <v>2605</v>
      </c>
      <c r="E102" s="408" t="s">
        <v>2614</v>
      </c>
      <c r="F102" s="407" t="s">
        <v>2607</v>
      </c>
      <c r="G102" s="408" t="s">
        <v>2615</v>
      </c>
      <c r="H102" s="408" t="s">
        <v>2532</v>
      </c>
      <c r="I102" s="408" t="s">
        <v>2533</v>
      </c>
      <c r="J102" s="573">
        <f t="shared" si="16"/>
        <v>31761.717799999999</v>
      </c>
      <c r="K102" s="573">
        <v>43.058500000000002</v>
      </c>
      <c r="L102" s="609">
        <f t="shared" si="17"/>
        <v>737.64106506264727</v>
      </c>
      <c r="M102" s="408">
        <v>60</v>
      </c>
      <c r="N102" s="415">
        <f t="shared" si="18"/>
        <v>529.36196333333328</v>
      </c>
      <c r="O102" s="513">
        <f t="shared" ca="1" si="11"/>
        <v>119</v>
      </c>
      <c r="P102" s="434">
        <v>1</v>
      </c>
      <c r="Q102" s="409" t="s">
        <v>2609</v>
      </c>
    </row>
    <row r="103" spans="2:17" s="1" customFormat="1" ht="54.95" customHeight="1" x14ac:dyDescent="0.2">
      <c r="B103" s="406">
        <v>41729</v>
      </c>
      <c r="C103" s="595" t="s">
        <v>2351</v>
      </c>
      <c r="D103" s="408" t="s">
        <v>2605</v>
      </c>
      <c r="E103" s="408" t="s">
        <v>2616</v>
      </c>
      <c r="F103" s="407" t="s">
        <v>2607</v>
      </c>
      <c r="G103" s="408" t="s">
        <v>2617</v>
      </c>
      <c r="H103" s="408" t="s">
        <v>2516</v>
      </c>
      <c r="I103" s="408" t="s">
        <v>2517</v>
      </c>
      <c r="J103" s="573">
        <f t="shared" si="16"/>
        <v>31761.717799999999</v>
      </c>
      <c r="K103" s="573">
        <v>43.058500000000002</v>
      </c>
      <c r="L103" s="609">
        <f t="shared" si="17"/>
        <v>737.64106506264727</v>
      </c>
      <c r="M103" s="408">
        <v>60</v>
      </c>
      <c r="N103" s="415">
        <f t="shared" si="18"/>
        <v>529.36196333333328</v>
      </c>
      <c r="O103" s="513">
        <f t="shared" ref="O103:O109" ca="1" si="19">IF(B103&lt;&gt;0,(ROUND((NOW()-B103)/30,0)),0)</f>
        <v>119</v>
      </c>
      <c r="P103" s="434">
        <v>1</v>
      </c>
      <c r="Q103" s="409" t="s">
        <v>2609</v>
      </c>
    </row>
    <row r="104" spans="2:17" s="1" customFormat="1" ht="51" customHeight="1" x14ac:dyDescent="0.2">
      <c r="B104" s="406">
        <v>41729</v>
      </c>
      <c r="C104" s="595" t="s">
        <v>2351</v>
      </c>
      <c r="D104" s="408" t="s">
        <v>2605</v>
      </c>
      <c r="E104" s="408" t="s">
        <v>2618</v>
      </c>
      <c r="F104" s="407" t="s">
        <v>2607</v>
      </c>
      <c r="G104" s="408" t="s">
        <v>2619</v>
      </c>
      <c r="H104" s="408" t="s">
        <v>2516</v>
      </c>
      <c r="I104" s="408" t="s">
        <v>2517</v>
      </c>
      <c r="J104" s="573">
        <f t="shared" si="16"/>
        <v>31761.717799999999</v>
      </c>
      <c r="K104" s="573">
        <v>43.058500000000002</v>
      </c>
      <c r="L104" s="609">
        <f t="shared" si="17"/>
        <v>737.64106506264727</v>
      </c>
      <c r="M104" s="408">
        <v>60</v>
      </c>
      <c r="N104" s="415">
        <f t="shared" si="18"/>
        <v>529.36196333333328</v>
      </c>
      <c r="O104" s="513">
        <f t="shared" ca="1" si="19"/>
        <v>119</v>
      </c>
      <c r="P104" s="434">
        <v>1</v>
      </c>
      <c r="Q104" s="409" t="s">
        <v>2609</v>
      </c>
    </row>
    <row r="105" spans="2:17" s="1" customFormat="1" ht="51.75" customHeight="1" x14ac:dyDescent="0.2">
      <c r="B105" s="406">
        <v>41729</v>
      </c>
      <c r="C105" s="595" t="s">
        <v>2351</v>
      </c>
      <c r="D105" s="408" t="s">
        <v>2605</v>
      </c>
      <c r="E105" s="408" t="s">
        <v>2620</v>
      </c>
      <c r="F105" s="407" t="s">
        <v>2607</v>
      </c>
      <c r="G105" s="408" t="s">
        <v>2621</v>
      </c>
      <c r="H105" s="408" t="s">
        <v>2538</v>
      </c>
      <c r="I105" s="408" t="s">
        <v>2398</v>
      </c>
      <c r="J105" s="573">
        <f t="shared" si="16"/>
        <v>31761.717799999999</v>
      </c>
      <c r="K105" s="573">
        <v>43.058500000000002</v>
      </c>
      <c r="L105" s="609">
        <f t="shared" si="17"/>
        <v>737.64106506264727</v>
      </c>
      <c r="M105" s="408">
        <v>60</v>
      </c>
      <c r="N105" s="415">
        <f t="shared" si="18"/>
        <v>529.36196333333328</v>
      </c>
      <c r="O105" s="513">
        <f t="shared" ca="1" si="19"/>
        <v>119</v>
      </c>
      <c r="P105" s="434">
        <v>1</v>
      </c>
      <c r="Q105" s="409" t="s">
        <v>2609</v>
      </c>
    </row>
    <row r="106" spans="2:17" s="1" customFormat="1" ht="51.75" customHeight="1" x14ac:dyDescent="0.2">
      <c r="B106" s="406">
        <v>41729</v>
      </c>
      <c r="C106" s="595" t="s">
        <v>2351</v>
      </c>
      <c r="D106" s="408" t="s">
        <v>2605</v>
      </c>
      <c r="E106" s="408" t="s">
        <v>2622</v>
      </c>
      <c r="F106" s="407" t="s">
        <v>2607</v>
      </c>
      <c r="G106" s="408" t="s">
        <v>2623</v>
      </c>
      <c r="H106" s="408" t="s">
        <v>2538</v>
      </c>
      <c r="I106" s="408" t="s">
        <v>2398</v>
      </c>
      <c r="J106" s="573">
        <f t="shared" si="16"/>
        <v>31761.717799999999</v>
      </c>
      <c r="K106" s="573">
        <v>43.058500000000002</v>
      </c>
      <c r="L106" s="609">
        <f t="shared" si="17"/>
        <v>737.64106506264727</v>
      </c>
      <c r="M106" s="408">
        <v>60</v>
      </c>
      <c r="N106" s="415">
        <f t="shared" si="18"/>
        <v>529.36196333333328</v>
      </c>
      <c r="O106" s="513">
        <f t="shared" ca="1" si="19"/>
        <v>119</v>
      </c>
      <c r="P106" s="434">
        <v>1</v>
      </c>
      <c r="Q106" s="409" t="s">
        <v>2609</v>
      </c>
    </row>
    <row r="107" spans="2:17" s="1" customFormat="1" ht="50.25" customHeight="1" x14ac:dyDescent="0.2">
      <c r="B107" s="406">
        <v>41729</v>
      </c>
      <c r="C107" s="595" t="s">
        <v>2351</v>
      </c>
      <c r="D107" s="408" t="s">
        <v>2605</v>
      </c>
      <c r="E107" s="408" t="s">
        <v>2624</v>
      </c>
      <c r="F107" s="407" t="s">
        <v>2607</v>
      </c>
      <c r="G107" s="408" t="s">
        <v>2625</v>
      </c>
      <c r="H107" s="408" t="s">
        <v>2540</v>
      </c>
      <c r="I107" s="408" t="s">
        <v>2386</v>
      </c>
      <c r="J107" s="573">
        <f t="shared" si="16"/>
        <v>31761.717799999999</v>
      </c>
      <c r="K107" s="573">
        <v>43.058500000000002</v>
      </c>
      <c r="L107" s="609">
        <f t="shared" si="17"/>
        <v>737.64106506264727</v>
      </c>
      <c r="M107" s="408">
        <v>60</v>
      </c>
      <c r="N107" s="415">
        <f t="shared" si="18"/>
        <v>529.36196333333328</v>
      </c>
      <c r="O107" s="513">
        <f t="shared" ca="1" si="19"/>
        <v>119</v>
      </c>
      <c r="P107" s="434">
        <v>1</v>
      </c>
      <c r="Q107" s="409" t="s">
        <v>2609</v>
      </c>
    </row>
    <row r="108" spans="2:17" s="1" customFormat="1" ht="50.25" customHeight="1" x14ac:dyDescent="0.2">
      <c r="B108" s="406">
        <v>41729</v>
      </c>
      <c r="C108" s="595" t="s">
        <v>2351</v>
      </c>
      <c r="D108" s="408" t="s">
        <v>2605</v>
      </c>
      <c r="E108" s="408" t="s">
        <v>2626</v>
      </c>
      <c r="F108" s="407" t="s">
        <v>2607</v>
      </c>
      <c r="G108" s="408" t="s">
        <v>2627</v>
      </c>
      <c r="H108" s="408" t="s">
        <v>2540</v>
      </c>
      <c r="I108" s="408" t="s">
        <v>2386</v>
      </c>
      <c r="J108" s="573">
        <f t="shared" si="16"/>
        <v>31761.717799999999</v>
      </c>
      <c r="K108" s="573">
        <v>43.058500000000002</v>
      </c>
      <c r="L108" s="609">
        <f t="shared" si="17"/>
        <v>737.64106506264727</v>
      </c>
      <c r="M108" s="408">
        <v>60</v>
      </c>
      <c r="N108" s="415">
        <f t="shared" si="18"/>
        <v>529.36196333333328</v>
      </c>
      <c r="O108" s="513">
        <f t="shared" ca="1" si="19"/>
        <v>119</v>
      </c>
      <c r="P108" s="434">
        <v>1</v>
      </c>
      <c r="Q108" s="409" t="s">
        <v>2609</v>
      </c>
    </row>
    <row r="109" spans="2:17" s="1" customFormat="1" ht="30" customHeight="1" x14ac:dyDescent="0.2">
      <c r="B109" s="406">
        <v>41729</v>
      </c>
      <c r="C109" s="595" t="s">
        <v>2351</v>
      </c>
      <c r="D109" s="408" t="s">
        <v>2605</v>
      </c>
      <c r="E109" s="408" t="s">
        <v>2628</v>
      </c>
      <c r="F109" s="407" t="s">
        <v>2629</v>
      </c>
      <c r="G109" s="408" t="s">
        <v>2630</v>
      </c>
      <c r="H109" s="408" t="s">
        <v>2544</v>
      </c>
      <c r="I109" s="408" t="s">
        <v>2545</v>
      </c>
      <c r="J109" s="573">
        <f>27585.36*18%+27585.36</f>
        <v>32550.7248</v>
      </c>
      <c r="K109" s="573">
        <v>43.058500000000002</v>
      </c>
      <c r="L109" s="609">
        <f t="shared" si="17"/>
        <v>755.96513580361602</v>
      </c>
      <c r="M109" s="408">
        <v>60</v>
      </c>
      <c r="N109" s="415">
        <f t="shared" si="18"/>
        <v>542.51207999999997</v>
      </c>
      <c r="O109" s="513">
        <f t="shared" ca="1" si="19"/>
        <v>119</v>
      </c>
      <c r="P109" s="434">
        <v>1</v>
      </c>
      <c r="Q109" s="409" t="s">
        <v>2609</v>
      </c>
    </row>
    <row r="110" spans="2:17" s="1" customFormat="1" ht="27.75" customHeight="1" x14ac:dyDescent="0.2">
      <c r="B110" s="406">
        <v>41729</v>
      </c>
      <c r="C110" s="595" t="s">
        <v>2351</v>
      </c>
      <c r="D110" s="408" t="s">
        <v>2605</v>
      </c>
      <c r="E110" s="408" t="s">
        <v>2631</v>
      </c>
      <c r="F110" s="407" t="s">
        <v>2629</v>
      </c>
      <c r="G110" s="408" t="s">
        <v>2632</v>
      </c>
      <c r="H110" s="408" t="s">
        <v>2527</v>
      </c>
      <c r="I110" s="408" t="s">
        <v>2528</v>
      </c>
      <c r="J110" s="573">
        <f t="shared" ref="J110:J116" si="20">27585.36*18%+27585.36</f>
        <v>32550.7248</v>
      </c>
      <c r="K110" s="573">
        <v>43.058500000000002</v>
      </c>
      <c r="L110" s="609">
        <f t="shared" ref="L110:L116" si="21">+J110/K110</f>
        <v>755.96513580361602</v>
      </c>
      <c r="M110" s="408">
        <v>60</v>
      </c>
      <c r="N110" s="415">
        <f t="shared" ref="N110:N116" si="22">IF(AND(J110&lt;&gt;0,M110&lt;&gt;0),J110/M110,0)</f>
        <v>542.51207999999997</v>
      </c>
      <c r="O110" s="513">
        <f t="shared" ref="O110:O116" ca="1" si="23">IF(B110&lt;&gt;0,(ROUND((NOW()-B110)/30,0)),0)</f>
        <v>119</v>
      </c>
      <c r="P110" s="434">
        <v>1</v>
      </c>
      <c r="Q110" s="409" t="s">
        <v>2609</v>
      </c>
    </row>
    <row r="111" spans="2:17" s="1" customFormat="1" ht="28.5" customHeight="1" x14ac:dyDescent="0.2">
      <c r="B111" s="406">
        <v>41729</v>
      </c>
      <c r="C111" s="595" t="s">
        <v>2351</v>
      </c>
      <c r="D111" s="408" t="s">
        <v>2605</v>
      </c>
      <c r="E111" s="408" t="s">
        <v>2633</v>
      </c>
      <c r="F111" s="407" t="s">
        <v>2629</v>
      </c>
      <c r="G111" s="408" t="s">
        <v>2634</v>
      </c>
      <c r="H111" s="408" t="s">
        <v>2580</v>
      </c>
      <c r="I111" s="408" t="s">
        <v>2581</v>
      </c>
      <c r="J111" s="573">
        <f t="shared" si="20"/>
        <v>32550.7248</v>
      </c>
      <c r="K111" s="573">
        <v>43.058500000000002</v>
      </c>
      <c r="L111" s="609">
        <f t="shared" si="21"/>
        <v>755.96513580361602</v>
      </c>
      <c r="M111" s="408">
        <v>60</v>
      </c>
      <c r="N111" s="415">
        <f t="shared" si="22"/>
        <v>542.51207999999997</v>
      </c>
      <c r="O111" s="513">
        <f t="shared" ca="1" si="23"/>
        <v>119</v>
      </c>
      <c r="P111" s="434">
        <v>1</v>
      </c>
      <c r="Q111" s="409" t="s">
        <v>2609</v>
      </c>
    </row>
    <row r="112" spans="2:17" s="1" customFormat="1" ht="40.15" customHeight="1" x14ac:dyDescent="0.2">
      <c r="B112" s="406">
        <v>41729</v>
      </c>
      <c r="C112" s="595" t="s">
        <v>2351</v>
      </c>
      <c r="D112" s="408" t="s">
        <v>2605</v>
      </c>
      <c r="E112" s="408" t="s">
        <v>2635</v>
      </c>
      <c r="F112" s="407" t="s">
        <v>2629</v>
      </c>
      <c r="G112" s="408" t="s">
        <v>2636</v>
      </c>
      <c r="H112" s="408" t="s">
        <v>2548</v>
      </c>
      <c r="I112" s="408" t="s">
        <v>2390</v>
      </c>
      <c r="J112" s="573">
        <f t="shared" si="20"/>
        <v>32550.7248</v>
      </c>
      <c r="K112" s="573">
        <v>43.058500000000002</v>
      </c>
      <c r="L112" s="609">
        <f t="shared" si="21"/>
        <v>755.96513580361602</v>
      </c>
      <c r="M112" s="408">
        <v>60</v>
      </c>
      <c r="N112" s="415">
        <f t="shared" si="22"/>
        <v>542.51207999999997</v>
      </c>
      <c r="O112" s="513">
        <f t="shared" ca="1" si="23"/>
        <v>119</v>
      </c>
      <c r="P112" s="434">
        <v>1</v>
      </c>
      <c r="Q112" s="409" t="s">
        <v>2609</v>
      </c>
    </row>
    <row r="113" spans="2:17" s="1" customFormat="1" ht="40.15" customHeight="1" x14ac:dyDescent="0.2">
      <c r="B113" s="406">
        <v>41729</v>
      </c>
      <c r="C113" s="595" t="s">
        <v>2351</v>
      </c>
      <c r="D113" s="408" t="s">
        <v>2605</v>
      </c>
      <c r="E113" s="408" t="s">
        <v>2637</v>
      </c>
      <c r="F113" s="407" t="s">
        <v>2629</v>
      </c>
      <c r="G113" s="408" t="s">
        <v>2638</v>
      </c>
      <c r="H113" s="408" t="s">
        <v>2532</v>
      </c>
      <c r="I113" s="408" t="s">
        <v>2533</v>
      </c>
      <c r="J113" s="573">
        <f t="shared" si="20"/>
        <v>32550.7248</v>
      </c>
      <c r="K113" s="573">
        <v>43.058500000000002</v>
      </c>
      <c r="L113" s="609">
        <f t="shared" si="21"/>
        <v>755.96513580361602</v>
      </c>
      <c r="M113" s="408">
        <v>60</v>
      </c>
      <c r="N113" s="415">
        <f t="shared" si="22"/>
        <v>542.51207999999997</v>
      </c>
      <c r="O113" s="513">
        <f t="shared" ca="1" si="23"/>
        <v>119</v>
      </c>
      <c r="P113" s="434">
        <v>1</v>
      </c>
      <c r="Q113" s="409" t="s">
        <v>2609</v>
      </c>
    </row>
    <row r="114" spans="2:17" s="1" customFormat="1" ht="40.15" customHeight="1" x14ac:dyDescent="0.2">
      <c r="B114" s="406">
        <v>41729</v>
      </c>
      <c r="C114" s="595" t="s">
        <v>2351</v>
      </c>
      <c r="D114" s="408" t="s">
        <v>2605</v>
      </c>
      <c r="E114" s="408" t="s">
        <v>2639</v>
      </c>
      <c r="F114" s="407" t="s">
        <v>2629</v>
      </c>
      <c r="G114" s="408" t="s">
        <v>2640</v>
      </c>
      <c r="H114" s="408" t="s">
        <v>2516</v>
      </c>
      <c r="I114" s="408" t="s">
        <v>2517</v>
      </c>
      <c r="J114" s="573">
        <f t="shared" si="20"/>
        <v>32550.7248</v>
      </c>
      <c r="K114" s="573">
        <v>43.058500000000002</v>
      </c>
      <c r="L114" s="609">
        <f t="shared" si="21"/>
        <v>755.96513580361602</v>
      </c>
      <c r="M114" s="408">
        <v>60</v>
      </c>
      <c r="N114" s="415">
        <f t="shared" si="22"/>
        <v>542.51207999999997</v>
      </c>
      <c r="O114" s="513">
        <f t="shared" ca="1" si="23"/>
        <v>119</v>
      </c>
      <c r="P114" s="434">
        <v>1</v>
      </c>
      <c r="Q114" s="409" t="s">
        <v>2609</v>
      </c>
    </row>
    <row r="115" spans="2:17" s="1" customFormat="1" ht="27.75" customHeight="1" x14ac:dyDescent="0.2">
      <c r="B115" s="406">
        <v>41729</v>
      </c>
      <c r="C115" s="595" t="s">
        <v>2351</v>
      </c>
      <c r="D115" s="408" t="s">
        <v>2605</v>
      </c>
      <c r="E115" s="408" t="s">
        <v>2641</v>
      </c>
      <c r="F115" s="407" t="s">
        <v>2629</v>
      </c>
      <c r="G115" s="408" t="s">
        <v>2642</v>
      </c>
      <c r="H115" s="408" t="s">
        <v>2538</v>
      </c>
      <c r="I115" s="408" t="s">
        <v>2398</v>
      </c>
      <c r="J115" s="573">
        <f t="shared" si="20"/>
        <v>32550.7248</v>
      </c>
      <c r="K115" s="573">
        <v>43.058500000000002</v>
      </c>
      <c r="L115" s="609">
        <f t="shared" si="21"/>
        <v>755.96513580361602</v>
      </c>
      <c r="M115" s="408">
        <v>60</v>
      </c>
      <c r="N115" s="415">
        <f t="shared" si="22"/>
        <v>542.51207999999997</v>
      </c>
      <c r="O115" s="513">
        <f t="shared" ca="1" si="23"/>
        <v>119</v>
      </c>
      <c r="P115" s="434">
        <v>1</v>
      </c>
      <c r="Q115" s="409" t="s">
        <v>2609</v>
      </c>
    </row>
    <row r="116" spans="2:17" s="1" customFormat="1" ht="24.75" customHeight="1" x14ac:dyDescent="0.2">
      <c r="B116" s="406">
        <v>41729</v>
      </c>
      <c r="C116" s="595" t="s">
        <v>2351</v>
      </c>
      <c r="D116" s="408" t="s">
        <v>2605</v>
      </c>
      <c r="E116" s="408" t="s">
        <v>2643</v>
      </c>
      <c r="F116" s="407" t="s">
        <v>2629</v>
      </c>
      <c r="G116" s="408" t="s">
        <v>2644</v>
      </c>
      <c r="H116" s="408" t="s">
        <v>2540</v>
      </c>
      <c r="I116" s="408" t="s">
        <v>2386</v>
      </c>
      <c r="J116" s="573">
        <f t="shared" si="20"/>
        <v>32550.7248</v>
      </c>
      <c r="K116" s="573">
        <v>43.058500000000002</v>
      </c>
      <c r="L116" s="609">
        <f t="shared" si="21"/>
        <v>755.96513580361602</v>
      </c>
      <c r="M116" s="408">
        <v>60</v>
      </c>
      <c r="N116" s="415">
        <f t="shared" si="22"/>
        <v>542.51207999999997</v>
      </c>
      <c r="O116" s="513">
        <f t="shared" ca="1" si="23"/>
        <v>119</v>
      </c>
      <c r="P116" s="434">
        <v>1</v>
      </c>
      <c r="Q116" s="409" t="s">
        <v>2609</v>
      </c>
    </row>
    <row r="117" spans="2:17" s="1" customFormat="1" ht="4.5" customHeight="1" x14ac:dyDescent="0.2">
      <c r="B117" s="299"/>
      <c r="C117" s="299"/>
      <c r="D117" s="301"/>
      <c r="E117" s="301"/>
      <c r="F117" s="300"/>
      <c r="G117" s="301"/>
      <c r="H117" s="301"/>
      <c r="I117" s="301"/>
      <c r="J117" s="364"/>
      <c r="K117" s="323"/>
      <c r="L117" s="364"/>
      <c r="M117" s="300"/>
      <c r="N117" s="324"/>
      <c r="O117" s="324"/>
      <c r="P117" s="324"/>
      <c r="Q117" s="300"/>
    </row>
    <row r="118" spans="2:17" s="1" customFormat="1" ht="15.75" customHeight="1" x14ac:dyDescent="0.2">
      <c r="B118" s="302"/>
      <c r="C118" s="527"/>
      <c r="D118" s="346"/>
      <c r="E118" s="842" t="s">
        <v>2334</v>
      </c>
      <c r="F118" s="842"/>
      <c r="G118" s="842"/>
      <c r="H118" s="842"/>
      <c r="I118" s="347"/>
      <c r="J118" s="122">
        <f>SUBTOTAL(9,J7:J116)</f>
        <v>3038427.1963999998</v>
      </c>
      <c r="K118" s="365"/>
      <c r="L118" s="122">
        <f>SUBTOTAL(9,L7:L116)</f>
        <v>73491.67526689134</v>
      </c>
      <c r="M118" s="366"/>
      <c r="N118" s="367"/>
      <c r="O118" s="368"/>
      <c r="P118" s="123">
        <f>SUBTOTAL(9,P7:P116)</f>
        <v>110</v>
      </c>
      <c r="Q118" s="332"/>
    </row>
    <row r="119" spans="2:17" s="1" customFormat="1" ht="8.25" customHeight="1" x14ac:dyDescent="0.25">
      <c r="B119" s="66"/>
      <c r="C119" s="528"/>
      <c r="E119" s="348"/>
      <c r="F119" s="349"/>
      <c r="G119" s="350"/>
      <c r="H119" s="350"/>
      <c r="I119" s="351"/>
      <c r="J119" s="369"/>
      <c r="L119" s="370"/>
      <c r="M119" s="371"/>
      <c r="N119" s="131"/>
      <c r="O119" s="133"/>
      <c r="P119" s="372"/>
      <c r="Q119" s="373"/>
    </row>
    <row r="120" spans="2:17" s="1" customFormat="1" ht="8.25" customHeight="1" x14ac:dyDescent="0.25">
      <c r="B120" s="66"/>
      <c r="C120" s="528"/>
      <c r="D120" s="352"/>
      <c r="E120" s="352"/>
      <c r="I120" s="352"/>
      <c r="J120" s="374"/>
      <c r="L120" s="370"/>
      <c r="M120" s="371"/>
      <c r="N120" s="375"/>
      <c r="O120" s="133"/>
      <c r="P120" s="372"/>
      <c r="Q120" s="373"/>
    </row>
    <row r="121" spans="2:17" s="1" customFormat="1" ht="11.25" x14ac:dyDescent="0.2">
      <c r="B121" s="68"/>
      <c r="C121" s="529"/>
      <c r="D121" s="69"/>
      <c r="E121" s="71"/>
      <c r="F121" s="70"/>
      <c r="G121" s="71"/>
      <c r="H121" s="71"/>
      <c r="I121" s="71"/>
      <c r="J121" s="76"/>
      <c r="L121" s="125"/>
      <c r="M121" s="126"/>
      <c r="N121" s="127"/>
      <c r="O121" s="128"/>
      <c r="P121" s="125"/>
      <c r="Q121" s="150"/>
    </row>
    <row r="122" spans="2:17" s="1" customFormat="1" ht="17.25" customHeight="1" x14ac:dyDescent="0.25">
      <c r="B122" s="68"/>
      <c r="C122" s="529"/>
      <c r="E122" s="71"/>
      <c r="F122" s="70"/>
      <c r="G122" s="843" t="s">
        <v>2335</v>
      </c>
      <c r="H122" s="844"/>
      <c r="I122" s="845"/>
      <c r="J122" s="376"/>
      <c r="L122" s="376"/>
      <c r="M122" s="126"/>
      <c r="N122" s="131"/>
      <c r="O122" s="133"/>
      <c r="P122" s="125"/>
      <c r="Q122" s="150"/>
    </row>
    <row r="123" spans="2:17" s="1" customFormat="1" ht="25.5" x14ac:dyDescent="0.25">
      <c r="B123" s="68"/>
      <c r="C123" s="529"/>
      <c r="D123" s="71"/>
      <c r="E123" s="71"/>
      <c r="F123" s="70"/>
      <c r="G123" s="353"/>
      <c r="H123" s="354" t="s">
        <v>2336</v>
      </c>
      <c r="I123" s="355" t="s">
        <v>2337</v>
      </c>
      <c r="J123" s="377"/>
      <c r="K123" s="131" t="s">
        <v>2645</v>
      </c>
      <c r="L123" s="132" t="s">
        <v>2646</v>
      </c>
      <c r="M123" s="126"/>
      <c r="N123" s="127"/>
      <c r="O123" s="128"/>
      <c r="P123" s="125"/>
      <c r="Q123" s="150"/>
    </row>
    <row r="124" spans="2:17" s="1" customFormat="1" ht="19.899999999999999" customHeight="1" x14ac:dyDescent="0.2">
      <c r="B124" s="68"/>
      <c r="C124" s="529"/>
      <c r="D124" s="356"/>
      <c r="E124" s="356"/>
      <c r="F124" s="81"/>
      <c r="G124" s="357" t="s">
        <v>2345</v>
      </c>
      <c r="H124" s="358">
        <f>SUM(J7:J46)</f>
        <v>1166918.4099999999</v>
      </c>
      <c r="I124" s="359">
        <f>SUM(L7:L46)</f>
        <v>29929.162549852426</v>
      </c>
      <c r="J124" s="134"/>
      <c r="M124" s="135"/>
      <c r="N124" s="135"/>
      <c r="O124" s="135"/>
      <c r="P124" s="125"/>
      <c r="Q124" s="150"/>
    </row>
    <row r="125" spans="2:17" s="1" customFormat="1" ht="19.899999999999999" customHeight="1" x14ac:dyDescent="0.25">
      <c r="B125" s="68"/>
      <c r="C125" s="529"/>
      <c r="D125" s="356"/>
      <c r="E125" s="356"/>
      <c r="F125" s="81"/>
      <c r="G125" s="360" t="s">
        <v>2346</v>
      </c>
      <c r="H125" s="361">
        <f>SUM(J47:J52)</f>
        <v>95733.400000000009</v>
      </c>
      <c r="I125" s="362">
        <f>SUM(L47:L52)</f>
        <v>2250.5891098101474</v>
      </c>
      <c r="J125" s="134"/>
      <c r="K125" s="131" t="s">
        <v>2647</v>
      </c>
      <c r="L125" s="133" t="s">
        <v>2648</v>
      </c>
      <c r="M125" s="135"/>
      <c r="N125" s="135"/>
      <c r="O125" s="135"/>
      <c r="P125" s="125"/>
      <c r="Q125" s="150"/>
    </row>
    <row r="126" spans="2:17" s="1" customFormat="1" ht="19.899999999999999" customHeight="1" x14ac:dyDescent="0.2">
      <c r="B126" s="68"/>
      <c r="C126" s="529"/>
      <c r="D126" s="356"/>
      <c r="E126" s="356"/>
      <c r="F126" s="81"/>
      <c r="G126" s="360" t="s">
        <v>2348</v>
      </c>
      <c r="H126" s="361">
        <f>SUM(J53:J116)</f>
        <v>1775775.3863999993</v>
      </c>
      <c r="I126" s="362">
        <f>SUM(L53:L116)</f>
        <v>41311.923607228651</v>
      </c>
      <c r="J126" s="134"/>
      <c r="M126" s="135"/>
      <c r="N126" s="135"/>
      <c r="O126" s="135"/>
      <c r="P126" s="125"/>
      <c r="Q126" s="150"/>
    </row>
    <row r="127" spans="2:17" s="1" customFormat="1" ht="19.899999999999999" customHeight="1" x14ac:dyDescent="0.25">
      <c r="B127" s="68"/>
      <c r="C127" s="529"/>
      <c r="D127" s="356"/>
      <c r="E127" s="356"/>
      <c r="F127" s="81"/>
      <c r="G127" s="360" t="s">
        <v>2349</v>
      </c>
      <c r="H127" s="560" t="s">
        <v>2351</v>
      </c>
      <c r="I127" s="362" t="s">
        <v>2351</v>
      </c>
      <c r="J127" s="134"/>
      <c r="K127" s="136" t="s">
        <v>2649</v>
      </c>
      <c r="L127" s="132" t="s">
        <v>2650</v>
      </c>
      <c r="M127" s="135"/>
      <c r="N127" s="135"/>
      <c r="O127" s="135"/>
      <c r="P127" s="125"/>
      <c r="Q127" s="150"/>
    </row>
    <row r="128" spans="2:17" s="1" customFormat="1" ht="19.899999999999999" customHeight="1" x14ac:dyDescent="0.25">
      <c r="B128" s="68"/>
      <c r="C128" s="529"/>
      <c r="D128" s="356"/>
      <c r="E128" s="356"/>
      <c r="F128" s="81"/>
      <c r="G128" s="357" t="s">
        <v>2350</v>
      </c>
      <c r="H128" s="561" t="s">
        <v>2351</v>
      </c>
      <c r="I128" s="362" t="s">
        <v>2351</v>
      </c>
      <c r="J128" s="134"/>
      <c r="K128" s="136"/>
      <c r="L128" s="132"/>
      <c r="M128" s="135"/>
      <c r="N128" s="135"/>
      <c r="O128" s="135"/>
      <c r="P128" s="125"/>
      <c r="Q128" s="150"/>
    </row>
    <row r="129" spans="2:17" s="1" customFormat="1" ht="19.899999999999999" customHeight="1" x14ac:dyDescent="0.2">
      <c r="B129" s="68"/>
      <c r="C129" s="529"/>
      <c r="D129" s="356"/>
      <c r="E129" s="356"/>
      <c r="F129" s="81"/>
      <c r="G129" s="306" t="s">
        <v>2353</v>
      </c>
      <c r="H129" s="560" t="s">
        <v>2351</v>
      </c>
      <c r="I129" s="363" t="s">
        <v>2351</v>
      </c>
      <c r="J129" s="134"/>
      <c r="K129" s="135"/>
      <c r="L129" s="134"/>
      <c r="M129" s="135"/>
      <c r="N129" s="135"/>
      <c r="O129" s="135"/>
      <c r="P129" s="125"/>
      <c r="Q129" s="150"/>
    </row>
    <row r="130" spans="2:17" s="1" customFormat="1" ht="19.899999999999999" customHeight="1" x14ac:dyDescent="0.25">
      <c r="B130" s="68"/>
      <c r="C130" s="529"/>
      <c r="D130" s="356"/>
      <c r="E130" s="356"/>
      <c r="F130" s="81"/>
      <c r="G130" s="357" t="s">
        <v>2354</v>
      </c>
      <c r="H130" s="560" t="s">
        <v>2351</v>
      </c>
      <c r="I130" s="362" t="s">
        <v>2351</v>
      </c>
      <c r="J130" s="137" t="s">
        <v>4400</v>
      </c>
      <c r="K130" s="137"/>
      <c r="L130" s="135"/>
      <c r="M130" s="135"/>
      <c r="N130" s="135"/>
      <c r="O130" s="125"/>
      <c r="P130" s="70"/>
    </row>
    <row r="131" spans="2:17" s="1" customFormat="1" ht="19.899999999999999" customHeight="1" x14ac:dyDescent="0.2">
      <c r="B131" s="68"/>
      <c r="C131" s="529"/>
      <c r="D131" s="356"/>
      <c r="E131" s="356"/>
      <c r="F131" s="81"/>
      <c r="G131" s="378" t="s">
        <v>2355</v>
      </c>
      <c r="H131" s="561" t="s">
        <v>2351</v>
      </c>
      <c r="I131" s="359" t="s">
        <v>2351</v>
      </c>
      <c r="J131" s="394"/>
      <c r="K131" s="148"/>
      <c r="P131" s="70"/>
    </row>
    <row r="132" spans="2:17" s="1" customFormat="1" ht="19.899999999999999" customHeight="1" x14ac:dyDescent="0.25">
      <c r="B132" s="68"/>
      <c r="C132" s="529"/>
      <c r="D132" s="356"/>
      <c r="E132" s="356"/>
      <c r="F132" s="81"/>
      <c r="G132" s="360" t="s">
        <v>2356</v>
      </c>
      <c r="H132" s="560" t="s">
        <v>2351</v>
      </c>
      <c r="I132" s="362" t="s">
        <v>2351</v>
      </c>
      <c r="J132" s="137" t="s">
        <v>2651</v>
      </c>
      <c r="K132" s="148"/>
      <c r="P132" s="70"/>
    </row>
    <row r="133" spans="2:17" s="1" customFormat="1" ht="19.899999999999999" customHeight="1" x14ac:dyDescent="0.25">
      <c r="B133" s="68"/>
      <c r="C133" s="529"/>
      <c r="D133" s="356"/>
      <c r="E133" s="356"/>
      <c r="F133" s="81"/>
      <c r="G133" s="379" t="s">
        <v>2652</v>
      </c>
      <c r="H133" s="560" t="s">
        <v>2351</v>
      </c>
      <c r="I133" s="562" t="s">
        <v>2351</v>
      </c>
      <c r="J133" s="137"/>
      <c r="K133" s="148"/>
      <c r="P133" s="70"/>
    </row>
    <row r="134" spans="2:17" s="1" customFormat="1" ht="19.899999999999999" customHeight="1" x14ac:dyDescent="0.25">
      <c r="B134" s="68"/>
      <c r="C134" s="529"/>
      <c r="D134" s="356"/>
      <c r="E134" s="356"/>
      <c r="F134" s="81"/>
      <c r="G134" s="380" t="s">
        <v>2653</v>
      </c>
      <c r="H134" s="561" t="s">
        <v>2351</v>
      </c>
      <c r="I134" s="563" t="s">
        <v>2351</v>
      </c>
      <c r="J134" s="137"/>
      <c r="K134" s="148"/>
      <c r="P134" s="70"/>
    </row>
    <row r="135" spans="2:17" s="1" customFormat="1" ht="19.899999999999999" customHeight="1" x14ac:dyDescent="0.2">
      <c r="B135" s="68"/>
      <c r="C135" s="529"/>
      <c r="D135" s="356"/>
      <c r="E135" s="356"/>
      <c r="F135" s="81"/>
      <c r="G135" s="381" t="s">
        <v>2359</v>
      </c>
      <c r="H135" s="382">
        <f>SUM(H124:H132)</f>
        <v>3038427.1963999989</v>
      </c>
      <c r="I135" s="383">
        <f>SUM(I124:I132)</f>
        <v>73491.675266891223</v>
      </c>
    </row>
    <row r="136" spans="2:17" s="1" customFormat="1" ht="15" customHeight="1" x14ac:dyDescent="0.2">
      <c r="B136" s="68"/>
      <c r="C136" s="529"/>
      <c r="D136" s="71"/>
      <c r="E136" s="71"/>
      <c r="F136" s="70"/>
      <c r="G136" s="266"/>
      <c r="H136" s="267"/>
      <c r="I136" s="267"/>
    </row>
    <row r="137" spans="2:17" s="1" customFormat="1" x14ac:dyDescent="0.2">
      <c r="B137" s="68"/>
      <c r="C137" s="529"/>
      <c r="D137" s="71"/>
      <c r="E137" s="71"/>
      <c r="F137" s="70"/>
      <c r="G137" s="89"/>
      <c r="H137" s="90"/>
      <c r="I137" s="90"/>
      <c r="J137" s="139"/>
      <c r="Q137" s="150"/>
    </row>
    <row r="138" spans="2:17" s="1" customFormat="1" ht="12" customHeight="1" x14ac:dyDescent="0.2">
      <c r="B138" s="68"/>
      <c r="C138" s="529"/>
      <c r="D138" s="71"/>
      <c r="E138" s="71"/>
      <c r="F138" s="70"/>
      <c r="G138" s="89"/>
      <c r="H138" s="90"/>
      <c r="I138" s="90"/>
      <c r="J138" s="139"/>
      <c r="Q138" s="150"/>
    </row>
    <row r="139" spans="2:17" s="7" customFormat="1" ht="15" x14ac:dyDescent="0.25">
      <c r="B139" s="100" t="s">
        <v>2360</v>
      </c>
      <c r="C139" s="530"/>
      <c r="D139" s="384"/>
      <c r="E139" s="384"/>
      <c r="F139" s="385"/>
      <c r="G139" s="386"/>
      <c r="H139" s="846" t="s">
        <v>2361</v>
      </c>
      <c r="I139" s="846"/>
      <c r="J139" s="852" t="s">
        <v>2362</v>
      </c>
      <c r="K139" s="852"/>
      <c r="L139" s="852"/>
      <c r="M139" s="852"/>
      <c r="N139" s="156"/>
      <c r="O139" s="156"/>
      <c r="P139" s="156"/>
      <c r="Q139" s="156"/>
    </row>
    <row r="140" spans="2:17" s="1" customFormat="1" x14ac:dyDescent="0.2">
      <c r="B140" s="68"/>
      <c r="C140" s="529"/>
      <c r="D140" s="71"/>
      <c r="E140" s="71"/>
      <c r="F140" s="70"/>
      <c r="G140" s="89"/>
      <c r="H140" s="90"/>
      <c r="I140" s="90"/>
      <c r="M140" s="90"/>
      <c r="N140" s="148"/>
      <c r="O140" s="148"/>
      <c r="P140" s="148"/>
      <c r="Q140" s="148"/>
    </row>
    <row r="141" spans="2:17" s="1" customFormat="1" x14ac:dyDescent="0.2">
      <c r="B141" s="68"/>
      <c r="C141" s="529"/>
      <c r="D141" s="71"/>
      <c r="E141" s="71"/>
      <c r="F141" s="70"/>
      <c r="G141" s="89"/>
      <c r="H141" s="90"/>
      <c r="I141" s="90"/>
      <c r="M141" s="90"/>
      <c r="N141" s="148"/>
      <c r="O141" s="148"/>
      <c r="P141" s="148"/>
      <c r="Q141" s="148"/>
    </row>
    <row r="142" spans="2:17" s="1" customFormat="1" x14ac:dyDescent="0.2">
      <c r="B142" s="467" t="s">
        <v>2654</v>
      </c>
      <c r="C142" s="467"/>
      <c r="D142" s="71"/>
      <c r="E142" s="71"/>
      <c r="F142" s="70"/>
      <c r="G142" s="89"/>
      <c r="H142" s="94"/>
      <c r="I142" s="94"/>
      <c r="J142" s="810" t="s">
        <v>2366</v>
      </c>
      <c r="M142" s="90"/>
      <c r="N142" s="813" t="s">
        <v>4937</v>
      </c>
      <c r="O142" s="148"/>
      <c r="P142" s="148"/>
      <c r="Q142" s="148"/>
    </row>
    <row r="143" spans="2:17" s="1" customFormat="1" ht="15" x14ac:dyDescent="0.25">
      <c r="B143" s="387" t="s">
        <v>2367</v>
      </c>
      <c r="C143" s="531"/>
      <c r="D143" s="388"/>
      <c r="E143" s="388"/>
      <c r="F143" s="328"/>
      <c r="G143" s="389"/>
      <c r="H143" s="847" t="s">
        <v>2655</v>
      </c>
      <c r="I143" s="847"/>
      <c r="J143" s="833" t="s">
        <v>2369</v>
      </c>
      <c r="K143" s="833"/>
      <c r="L143" s="833"/>
      <c r="M143" s="833"/>
      <c r="N143" s="872" t="s">
        <v>4935</v>
      </c>
      <c r="O143" s="872"/>
      <c r="P143" s="872"/>
      <c r="Q143" s="872"/>
    </row>
    <row r="144" spans="2:17" s="8" customFormat="1" ht="15" x14ac:dyDescent="0.25">
      <c r="B144" s="277" t="s">
        <v>2370</v>
      </c>
      <c r="C144" s="518"/>
      <c r="D144" s="390"/>
      <c r="E144" s="391"/>
      <c r="F144" s="392"/>
      <c r="G144" s="112"/>
      <c r="H144" s="841" t="s">
        <v>2371</v>
      </c>
      <c r="I144" s="841"/>
      <c r="J144" s="834" t="s">
        <v>2656</v>
      </c>
      <c r="K144" s="834"/>
      <c r="L144" s="834"/>
      <c r="M144" s="834"/>
      <c r="N144" s="871" t="s">
        <v>4936</v>
      </c>
      <c r="O144" s="871"/>
      <c r="P144" s="871"/>
      <c r="Q144" s="871"/>
    </row>
    <row r="145" spans="2:17" s="1" customFormat="1" x14ac:dyDescent="0.2">
      <c r="B145" s="280" t="s">
        <v>4925</v>
      </c>
      <c r="C145" s="532"/>
      <c r="D145" s="393"/>
      <c r="E145" s="393"/>
      <c r="F145" s="117"/>
      <c r="G145" s="93"/>
      <c r="H145" s="94"/>
      <c r="I145" s="94"/>
      <c r="J145" s="141"/>
      <c r="K145" s="142"/>
      <c r="L145" s="142"/>
      <c r="M145" s="142"/>
      <c r="N145" s="142"/>
      <c r="O145" s="142"/>
      <c r="P145" s="142"/>
      <c r="Q145" s="151"/>
    </row>
    <row r="147" spans="2:17" x14ac:dyDescent="0.2">
      <c r="H147" s="118"/>
    </row>
    <row r="149" spans="2:17" x14ac:dyDescent="0.2">
      <c r="H149" s="119"/>
    </row>
    <row r="153" spans="2:17" x14ac:dyDescent="0.2">
      <c r="F153" s="121"/>
    </row>
  </sheetData>
  <mergeCells count="10">
    <mergeCell ref="E118:H118"/>
    <mergeCell ref="G122:I122"/>
    <mergeCell ref="H139:I139"/>
    <mergeCell ref="J139:M139"/>
    <mergeCell ref="H143:I143"/>
    <mergeCell ref="H144:I144"/>
    <mergeCell ref="J143:M143"/>
    <mergeCell ref="N143:Q143"/>
    <mergeCell ref="J144:M144"/>
    <mergeCell ref="N144:Q14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0" fitToWidth="3" fitToHeight="3" orientation="landscape" r:id="rId1"/>
  <headerFooter alignWithMargins="0">
    <oddHeader xml:space="preserve">&amp;R
</oddHeader>
    <oddFooter>&amp;C&amp;"Arial,Negrita"Pág. &amp;P - 9</oddFooter>
  </headerFooter>
  <rowBreaks count="8" manualBreakCount="8">
    <brk id="19" max="15" man="1"/>
    <brk id="32" max="15" man="1"/>
    <brk id="46" max="15" man="1"/>
    <brk id="60" max="15" man="1"/>
    <brk id="73" max="15" man="1"/>
    <brk id="88" max="15" man="1"/>
    <brk id="103" max="15" man="1"/>
    <brk id="120" max="15" man="1"/>
  </rowBreaks>
  <ignoredErrors>
    <ignoredError sqref="P118" unlockedFormula="1"/>
    <ignoredError sqref="G74:G77 G67:G73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2:R82"/>
  <sheetViews>
    <sheetView zoomScale="98" zoomScaleNormal="98" workbookViewId="0">
      <pane xSplit="4" topLeftCell="E1" activePane="topRight" state="frozenSplit"/>
      <selection pane="topRight" activeCell="N68" sqref="N68:Q68"/>
    </sheetView>
  </sheetViews>
  <sheetFormatPr baseColWidth="10" defaultColWidth="9.140625" defaultRowHeight="12.75" x14ac:dyDescent="0.2"/>
  <cols>
    <col min="1" max="1" width="1.28515625" style="9" customWidth="1"/>
    <col min="2" max="2" width="9.140625" style="9" customWidth="1"/>
    <col min="3" max="3" width="10" style="9" customWidth="1"/>
    <col min="4" max="4" width="9.5703125" style="9" customWidth="1"/>
    <col min="5" max="5" width="11.28515625" style="9" customWidth="1"/>
    <col min="6" max="6" width="23.85546875" style="9" customWidth="1"/>
    <col min="7" max="7" width="14.28515625" style="3" customWidth="1"/>
    <col min="8" max="8" width="17.140625" style="10" customWidth="1"/>
    <col min="9" max="9" width="20.140625" style="10" customWidth="1"/>
    <col min="10" max="10" width="16.28515625" style="9" customWidth="1"/>
    <col min="11" max="11" width="8.42578125" style="9" customWidth="1"/>
    <col min="12" max="12" width="14" style="9" customWidth="1"/>
    <col min="13" max="13" width="6.28515625" style="9" customWidth="1"/>
    <col min="14" max="14" width="11.7109375" style="9" customWidth="1"/>
    <col min="15" max="15" width="8.42578125" style="9" customWidth="1"/>
    <col min="16" max="16" width="12.28515625" style="9" hidden="1" customWidth="1"/>
    <col min="17" max="17" width="13.42578125" style="9" customWidth="1"/>
    <col min="18" max="18" width="15.7109375" style="9" customWidth="1"/>
    <col min="19" max="16384" width="9.140625" style="9"/>
  </cols>
  <sheetData>
    <row r="2" spans="1:18" s="1" customFormat="1" ht="25.15" customHeight="1" x14ac:dyDescent="0.3">
      <c r="D2" s="11"/>
      <c r="E2" s="567" t="s">
        <v>2657</v>
      </c>
      <c r="F2" s="13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 s="1" customFormat="1" ht="22.15" customHeight="1" x14ac:dyDescent="0.3">
      <c r="D3" s="11"/>
      <c r="E3" s="14" t="s">
        <v>2658</v>
      </c>
      <c r="F3" s="19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</row>
    <row r="4" spans="1:18" s="1" customFormat="1" ht="22.15" customHeight="1" x14ac:dyDescent="0.25">
      <c r="D4" s="17"/>
      <c r="E4" s="565" t="s">
        <v>4920</v>
      </c>
      <c r="F4" s="19"/>
      <c r="G4" s="20"/>
      <c r="H4" s="20"/>
      <c r="I4" s="20"/>
      <c r="J4" s="17"/>
      <c r="K4" s="17"/>
      <c r="L4" s="17"/>
      <c r="M4" s="17"/>
      <c r="N4" s="17"/>
      <c r="O4" s="17"/>
      <c r="P4" s="17"/>
      <c r="Q4" s="17"/>
      <c r="R4" s="17"/>
    </row>
    <row r="5" spans="1:18" s="1" customFormat="1" ht="10.15" customHeight="1" x14ac:dyDescent="0.2"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</row>
    <row r="6" spans="1:18" s="3" customFormat="1" ht="48.75" customHeight="1" x14ac:dyDescent="0.2">
      <c r="B6" s="519" t="s">
        <v>4344</v>
      </c>
      <c r="C6" s="553" t="s">
        <v>4345</v>
      </c>
      <c r="D6" s="520" t="s">
        <v>2376</v>
      </c>
      <c r="E6" s="521" t="s">
        <v>4</v>
      </c>
      <c r="F6" s="521" t="s">
        <v>5</v>
      </c>
      <c r="G6" s="521" t="s">
        <v>6</v>
      </c>
      <c r="H6" s="521" t="s">
        <v>7</v>
      </c>
      <c r="I6" s="298" t="s">
        <v>2378</v>
      </c>
      <c r="J6" s="522" t="s">
        <v>9</v>
      </c>
      <c r="K6" s="522" t="s">
        <v>10</v>
      </c>
      <c r="L6" s="523" t="s">
        <v>2379</v>
      </c>
      <c r="M6" s="524" t="s">
        <v>12</v>
      </c>
      <c r="N6" s="525" t="s">
        <v>2380</v>
      </c>
      <c r="O6" s="526" t="s">
        <v>14</v>
      </c>
      <c r="P6" s="520" t="s">
        <v>15</v>
      </c>
      <c r="Q6" s="520" t="s">
        <v>15</v>
      </c>
      <c r="R6" s="520" t="s">
        <v>16</v>
      </c>
    </row>
    <row r="7" spans="1:18" s="1" customFormat="1" ht="49.9" customHeight="1" x14ac:dyDescent="0.2">
      <c r="A7" s="330"/>
      <c r="B7" s="569">
        <v>42344</v>
      </c>
      <c r="C7" s="569" t="s">
        <v>2351</v>
      </c>
      <c r="D7" s="570" t="s">
        <v>2659</v>
      </c>
      <c r="E7" s="571" t="s">
        <v>2660</v>
      </c>
      <c r="F7" s="572" t="s">
        <v>2661</v>
      </c>
      <c r="G7" s="571" t="s">
        <v>28</v>
      </c>
      <c r="H7" s="571" t="s">
        <v>2662</v>
      </c>
      <c r="I7" s="571" t="s">
        <v>19</v>
      </c>
      <c r="J7" s="573">
        <f>6584+1185.12</f>
        <v>7769.12</v>
      </c>
      <c r="K7" s="426">
        <v>45.38</v>
      </c>
      <c r="L7" s="574">
        <f t="shared" ref="L7:L12" si="0">+J7/K7</f>
        <v>171.20141031291317</v>
      </c>
      <c r="M7" s="571">
        <v>60</v>
      </c>
      <c r="N7" s="415">
        <f t="shared" ref="N7:N12" si="1">IF(AND(L7&lt;&gt;0,M7&lt;&gt;0),L7/M7,0)</f>
        <v>2.8533568385485526</v>
      </c>
      <c r="O7" s="575">
        <f t="shared" ref="O7:O12" ca="1" si="2">IF(B7&lt;&gt;0,(ROUND((NOW()-B7)/30,0)),0)</f>
        <v>99</v>
      </c>
      <c r="P7" s="434">
        <f t="shared" ref="P7:P12" ca="1" si="3">IF(OR(L7=0,M7=0,O7=0),0,L7-(N7*O7))</f>
        <v>-111.28091670339356</v>
      </c>
      <c r="Q7" s="434">
        <f ca="1">IF(P7&lt;1,1,P7)</f>
        <v>1</v>
      </c>
      <c r="R7" s="570" t="s">
        <v>2663</v>
      </c>
    </row>
    <row r="8" spans="1:18" s="1" customFormat="1" ht="49.9" customHeight="1" x14ac:dyDescent="0.2">
      <c r="A8" s="330"/>
      <c r="B8" s="569">
        <v>42344</v>
      </c>
      <c r="C8" s="569" t="s">
        <v>2351</v>
      </c>
      <c r="D8" s="570" t="s">
        <v>2659</v>
      </c>
      <c r="E8" s="571" t="s">
        <v>2664</v>
      </c>
      <c r="F8" s="572" t="s">
        <v>2665</v>
      </c>
      <c r="G8" s="571" t="s">
        <v>28</v>
      </c>
      <c r="H8" s="571" t="s">
        <v>2666</v>
      </c>
      <c r="I8" s="571" t="s">
        <v>19</v>
      </c>
      <c r="J8" s="573">
        <f>5800+1044</f>
        <v>6844</v>
      </c>
      <c r="K8" s="426">
        <v>45.38</v>
      </c>
      <c r="L8" s="574">
        <f t="shared" si="0"/>
        <v>150.81533715293079</v>
      </c>
      <c r="M8" s="571">
        <v>60</v>
      </c>
      <c r="N8" s="415">
        <f t="shared" si="1"/>
        <v>2.5135889525488464</v>
      </c>
      <c r="O8" s="575">
        <f t="shared" ca="1" si="2"/>
        <v>99</v>
      </c>
      <c r="P8" s="434">
        <f t="shared" ca="1" si="3"/>
        <v>-98.029969149404991</v>
      </c>
      <c r="Q8" s="434">
        <f t="shared" ref="Q8:Q39" ca="1" si="4">IF(P8&lt;1,1,P8)</f>
        <v>1</v>
      </c>
      <c r="R8" s="570" t="s">
        <v>2663</v>
      </c>
    </row>
    <row r="9" spans="1:18" s="1" customFormat="1" ht="49.9" customHeight="1" x14ac:dyDescent="0.2">
      <c r="A9" s="330"/>
      <c r="B9" s="569">
        <v>42344</v>
      </c>
      <c r="C9" s="569" t="s">
        <v>2351</v>
      </c>
      <c r="D9" s="570" t="s">
        <v>2659</v>
      </c>
      <c r="E9" s="571" t="s">
        <v>2667</v>
      </c>
      <c r="F9" s="572" t="s">
        <v>2665</v>
      </c>
      <c r="G9" s="571" t="s">
        <v>28</v>
      </c>
      <c r="H9" s="571" t="s">
        <v>2666</v>
      </c>
      <c r="I9" s="571" t="s">
        <v>19</v>
      </c>
      <c r="J9" s="573">
        <f>5800+1044</f>
        <v>6844</v>
      </c>
      <c r="K9" s="426">
        <v>45.38</v>
      </c>
      <c r="L9" s="574">
        <f t="shared" si="0"/>
        <v>150.81533715293079</v>
      </c>
      <c r="M9" s="571">
        <v>60</v>
      </c>
      <c r="N9" s="415">
        <f t="shared" si="1"/>
        <v>2.5135889525488464</v>
      </c>
      <c r="O9" s="575">
        <f t="shared" ca="1" si="2"/>
        <v>99</v>
      </c>
      <c r="P9" s="434">
        <f t="shared" ca="1" si="3"/>
        <v>-98.029969149404991</v>
      </c>
      <c r="Q9" s="434">
        <f t="shared" ca="1" si="4"/>
        <v>1</v>
      </c>
      <c r="R9" s="570" t="s">
        <v>2663</v>
      </c>
    </row>
    <row r="10" spans="1:18" s="1" customFormat="1" ht="49.9" customHeight="1" x14ac:dyDescent="0.2">
      <c r="A10" s="330"/>
      <c r="B10" s="576">
        <v>42344</v>
      </c>
      <c r="C10" s="569" t="s">
        <v>2351</v>
      </c>
      <c r="D10" s="577" t="s">
        <v>2659</v>
      </c>
      <c r="E10" s="578" t="s">
        <v>2668</v>
      </c>
      <c r="F10" s="579" t="s">
        <v>2669</v>
      </c>
      <c r="G10" s="578" t="s">
        <v>28</v>
      </c>
      <c r="H10" s="578" t="s">
        <v>2670</v>
      </c>
      <c r="I10" s="578" t="s">
        <v>19</v>
      </c>
      <c r="J10" s="580">
        <f>8883+1598.94</f>
        <v>10481.94</v>
      </c>
      <c r="K10" s="430">
        <v>45.38</v>
      </c>
      <c r="L10" s="581">
        <f t="shared" si="0"/>
        <v>230.98148964301456</v>
      </c>
      <c r="M10" s="571">
        <v>60</v>
      </c>
      <c r="N10" s="421">
        <f t="shared" si="1"/>
        <v>3.8496914940502425</v>
      </c>
      <c r="O10" s="582">
        <f t="shared" ca="1" si="2"/>
        <v>99</v>
      </c>
      <c r="P10" s="583">
        <f t="shared" ca="1" si="3"/>
        <v>-150.13796826795945</v>
      </c>
      <c r="Q10" s="434">
        <f t="shared" ca="1" si="4"/>
        <v>1</v>
      </c>
      <c r="R10" s="577" t="s">
        <v>2663</v>
      </c>
    </row>
    <row r="11" spans="1:18" s="1" customFormat="1" ht="49.9" customHeight="1" x14ac:dyDescent="0.2">
      <c r="A11" s="330"/>
      <c r="B11" s="576">
        <v>42344</v>
      </c>
      <c r="C11" s="569" t="s">
        <v>2351</v>
      </c>
      <c r="D11" s="577" t="s">
        <v>2659</v>
      </c>
      <c r="E11" s="578" t="s">
        <v>2671</v>
      </c>
      <c r="F11" s="579" t="s">
        <v>2669</v>
      </c>
      <c r="G11" s="578" t="s">
        <v>28</v>
      </c>
      <c r="H11" s="578" t="s">
        <v>2670</v>
      </c>
      <c r="I11" s="578" t="s">
        <v>19</v>
      </c>
      <c r="J11" s="580">
        <f>8883+1598.94</f>
        <v>10481.94</v>
      </c>
      <c r="K11" s="430">
        <v>45.38</v>
      </c>
      <c r="L11" s="581">
        <f t="shared" si="0"/>
        <v>230.98148964301456</v>
      </c>
      <c r="M11" s="571">
        <v>60</v>
      </c>
      <c r="N11" s="421">
        <f t="shared" si="1"/>
        <v>3.8496914940502425</v>
      </c>
      <c r="O11" s="582">
        <f t="shared" ca="1" si="2"/>
        <v>99</v>
      </c>
      <c r="P11" s="583">
        <f t="shared" ca="1" si="3"/>
        <v>-150.13796826795945</v>
      </c>
      <c r="Q11" s="434">
        <f t="shared" ca="1" si="4"/>
        <v>1</v>
      </c>
      <c r="R11" s="577" t="s">
        <v>2663</v>
      </c>
    </row>
    <row r="12" spans="1:18" s="1" customFormat="1" ht="49.9" customHeight="1" x14ac:dyDescent="0.2">
      <c r="A12" s="330"/>
      <c r="B12" s="569">
        <v>42344</v>
      </c>
      <c r="C12" s="569" t="s">
        <v>2351</v>
      </c>
      <c r="D12" s="570" t="s">
        <v>2659</v>
      </c>
      <c r="E12" s="571" t="s">
        <v>2672</v>
      </c>
      <c r="F12" s="572" t="s">
        <v>2673</v>
      </c>
      <c r="G12" s="571" t="s">
        <v>28</v>
      </c>
      <c r="H12" s="571" t="s">
        <v>204</v>
      </c>
      <c r="I12" s="571" t="s">
        <v>19</v>
      </c>
      <c r="J12" s="573">
        <f>9950+1791</f>
        <v>11741</v>
      </c>
      <c r="K12" s="426">
        <v>45.38</v>
      </c>
      <c r="L12" s="574">
        <f t="shared" si="0"/>
        <v>258.72631115028645</v>
      </c>
      <c r="M12" s="571">
        <v>60</v>
      </c>
      <c r="N12" s="415">
        <f t="shared" si="1"/>
        <v>4.3121051858381074</v>
      </c>
      <c r="O12" s="575">
        <f t="shared" ca="1" si="2"/>
        <v>99</v>
      </c>
      <c r="P12" s="434">
        <f t="shared" ca="1" si="3"/>
        <v>-168.17210224768621</v>
      </c>
      <c r="Q12" s="434">
        <f t="shared" ca="1" si="4"/>
        <v>1</v>
      </c>
      <c r="R12" s="570" t="s">
        <v>2663</v>
      </c>
    </row>
    <row r="13" spans="1:18" s="1" customFormat="1" ht="49.9" customHeight="1" x14ac:dyDescent="0.2">
      <c r="A13" s="330"/>
      <c r="B13" s="584">
        <v>42344</v>
      </c>
      <c r="C13" s="569" t="s">
        <v>2351</v>
      </c>
      <c r="D13" s="570" t="s">
        <v>2659</v>
      </c>
      <c r="E13" s="571" t="s">
        <v>2674</v>
      </c>
      <c r="F13" s="572" t="s">
        <v>2675</v>
      </c>
      <c r="G13" s="571" t="s">
        <v>28</v>
      </c>
      <c r="H13" s="571" t="s">
        <v>2676</v>
      </c>
      <c r="I13" s="571" t="s">
        <v>19</v>
      </c>
      <c r="J13" s="426">
        <f t="shared" ref="J13:J18" si="5">3999+719.82</f>
        <v>4718.82</v>
      </c>
      <c r="K13" s="426">
        <v>45.38</v>
      </c>
      <c r="L13" s="574">
        <f t="shared" ref="L13:L39" si="6">+J13/K13</f>
        <v>103.98457470251211</v>
      </c>
      <c r="M13" s="571">
        <v>60</v>
      </c>
      <c r="N13" s="585">
        <f t="shared" ref="N13:N18" si="7">IF(AND(J13&lt;&gt;0,M13&lt;&gt;0),J13/M13,0)</f>
        <v>78.646999999999991</v>
      </c>
      <c r="O13" s="575">
        <f t="shared" ref="O13:O39" ca="1" si="8">IF(B13&lt;&gt;0,(ROUND((NOW()-B13)/30,0)),0)</f>
        <v>99</v>
      </c>
      <c r="P13" s="434">
        <f t="shared" ref="P13:P21" ca="1" si="9">IF(OR(J13=0,M13=0,O13=0),0,J13-(N13*O13))</f>
        <v>-3067.2329999999993</v>
      </c>
      <c r="Q13" s="434">
        <f t="shared" ca="1" si="4"/>
        <v>1</v>
      </c>
      <c r="R13" s="570" t="s">
        <v>2663</v>
      </c>
    </row>
    <row r="14" spans="1:18" s="1" customFormat="1" ht="49.9" customHeight="1" x14ac:dyDescent="0.2">
      <c r="A14" s="330"/>
      <c r="B14" s="584">
        <v>42344</v>
      </c>
      <c r="C14" s="569" t="s">
        <v>2351</v>
      </c>
      <c r="D14" s="570" t="s">
        <v>2659</v>
      </c>
      <c r="E14" s="571" t="s">
        <v>2677</v>
      </c>
      <c r="F14" s="572" t="s">
        <v>2675</v>
      </c>
      <c r="G14" s="571" t="s">
        <v>28</v>
      </c>
      <c r="H14" s="571" t="s">
        <v>2678</v>
      </c>
      <c r="I14" s="571" t="s">
        <v>19</v>
      </c>
      <c r="J14" s="426">
        <f t="shared" si="5"/>
        <v>4718.82</v>
      </c>
      <c r="K14" s="426">
        <v>45.38</v>
      </c>
      <c r="L14" s="574">
        <f t="shared" si="6"/>
        <v>103.98457470251211</v>
      </c>
      <c r="M14" s="571">
        <v>60</v>
      </c>
      <c r="N14" s="585">
        <f t="shared" si="7"/>
        <v>78.646999999999991</v>
      </c>
      <c r="O14" s="575">
        <f t="shared" ca="1" si="8"/>
        <v>99</v>
      </c>
      <c r="P14" s="434">
        <f t="shared" ca="1" si="9"/>
        <v>-3067.2329999999993</v>
      </c>
      <c r="Q14" s="434">
        <f t="shared" ca="1" si="4"/>
        <v>1</v>
      </c>
      <c r="R14" s="570" t="s">
        <v>2663</v>
      </c>
    </row>
    <row r="15" spans="1:18" s="1" customFormat="1" ht="49.9" customHeight="1" x14ac:dyDescent="0.2">
      <c r="A15" s="330"/>
      <c r="B15" s="584">
        <v>42344</v>
      </c>
      <c r="C15" s="569" t="s">
        <v>2351</v>
      </c>
      <c r="D15" s="570" t="s">
        <v>2659</v>
      </c>
      <c r="E15" s="571" t="s">
        <v>2679</v>
      </c>
      <c r="F15" s="572" t="s">
        <v>2675</v>
      </c>
      <c r="G15" s="571" t="s">
        <v>28</v>
      </c>
      <c r="H15" s="571" t="s">
        <v>2680</v>
      </c>
      <c r="I15" s="571" t="s">
        <v>19</v>
      </c>
      <c r="J15" s="426">
        <f t="shared" si="5"/>
        <v>4718.82</v>
      </c>
      <c r="K15" s="426">
        <v>45.38</v>
      </c>
      <c r="L15" s="574">
        <f t="shared" si="6"/>
        <v>103.98457470251211</v>
      </c>
      <c r="M15" s="571">
        <v>60</v>
      </c>
      <c r="N15" s="585">
        <f t="shared" si="7"/>
        <v>78.646999999999991</v>
      </c>
      <c r="O15" s="575">
        <f t="shared" ca="1" si="8"/>
        <v>99</v>
      </c>
      <c r="P15" s="434">
        <f t="shared" ca="1" si="9"/>
        <v>-3067.2329999999993</v>
      </c>
      <c r="Q15" s="434">
        <f t="shared" ca="1" si="4"/>
        <v>1</v>
      </c>
      <c r="R15" s="570" t="s">
        <v>2663</v>
      </c>
    </row>
    <row r="16" spans="1:18" s="1" customFormat="1" ht="49.9" customHeight="1" x14ac:dyDescent="0.2">
      <c r="A16" s="330"/>
      <c r="B16" s="584">
        <v>42344</v>
      </c>
      <c r="C16" s="569" t="s">
        <v>2351</v>
      </c>
      <c r="D16" s="570" t="s">
        <v>2659</v>
      </c>
      <c r="E16" s="571" t="s">
        <v>2681</v>
      </c>
      <c r="F16" s="572" t="s">
        <v>2675</v>
      </c>
      <c r="G16" s="571" t="s">
        <v>28</v>
      </c>
      <c r="H16" s="571" t="s">
        <v>2682</v>
      </c>
      <c r="I16" s="571" t="s">
        <v>19</v>
      </c>
      <c r="J16" s="426">
        <f t="shared" si="5"/>
        <v>4718.82</v>
      </c>
      <c r="K16" s="426">
        <v>45.38</v>
      </c>
      <c r="L16" s="574">
        <f t="shared" si="6"/>
        <v>103.98457470251211</v>
      </c>
      <c r="M16" s="571">
        <v>60</v>
      </c>
      <c r="N16" s="585">
        <f t="shared" si="7"/>
        <v>78.646999999999991</v>
      </c>
      <c r="O16" s="575">
        <f t="shared" ca="1" si="8"/>
        <v>99</v>
      </c>
      <c r="P16" s="434">
        <f t="shared" ca="1" si="9"/>
        <v>-3067.2329999999993</v>
      </c>
      <c r="Q16" s="434">
        <f t="shared" ca="1" si="4"/>
        <v>1</v>
      </c>
      <c r="R16" s="570" t="s">
        <v>2663</v>
      </c>
    </row>
    <row r="17" spans="1:18" s="1" customFormat="1" ht="49.9" customHeight="1" x14ac:dyDescent="0.2">
      <c r="A17" s="330"/>
      <c r="B17" s="584">
        <v>42344</v>
      </c>
      <c r="C17" s="569" t="s">
        <v>2351</v>
      </c>
      <c r="D17" s="570" t="s">
        <v>2659</v>
      </c>
      <c r="E17" s="571" t="s">
        <v>2683</v>
      </c>
      <c r="F17" s="572" t="s">
        <v>2675</v>
      </c>
      <c r="G17" s="571" t="s">
        <v>28</v>
      </c>
      <c r="H17" s="571" t="s">
        <v>2684</v>
      </c>
      <c r="I17" s="571" t="s">
        <v>19</v>
      </c>
      <c r="J17" s="426">
        <f t="shared" si="5"/>
        <v>4718.82</v>
      </c>
      <c r="K17" s="426">
        <v>45.38</v>
      </c>
      <c r="L17" s="574">
        <f t="shared" si="6"/>
        <v>103.98457470251211</v>
      </c>
      <c r="M17" s="571">
        <v>60</v>
      </c>
      <c r="N17" s="585">
        <f t="shared" si="7"/>
        <v>78.646999999999991</v>
      </c>
      <c r="O17" s="575">
        <f t="shared" ca="1" si="8"/>
        <v>99</v>
      </c>
      <c r="P17" s="434">
        <f t="shared" ca="1" si="9"/>
        <v>-3067.2329999999993</v>
      </c>
      <c r="Q17" s="434">
        <f t="shared" ca="1" si="4"/>
        <v>1</v>
      </c>
      <c r="R17" s="570" t="s">
        <v>2663</v>
      </c>
    </row>
    <row r="18" spans="1:18" s="1" customFormat="1" ht="49.9" customHeight="1" x14ac:dyDescent="0.2">
      <c r="A18" s="330"/>
      <c r="B18" s="584">
        <v>42344</v>
      </c>
      <c r="C18" s="569" t="s">
        <v>2351</v>
      </c>
      <c r="D18" s="570" t="s">
        <v>2659</v>
      </c>
      <c r="E18" s="571" t="s">
        <v>2685</v>
      </c>
      <c r="F18" s="572" t="s">
        <v>2675</v>
      </c>
      <c r="G18" s="571" t="s">
        <v>28</v>
      </c>
      <c r="H18" s="571" t="s">
        <v>2686</v>
      </c>
      <c r="I18" s="571" t="s">
        <v>2687</v>
      </c>
      <c r="J18" s="426">
        <f t="shared" si="5"/>
        <v>4718.82</v>
      </c>
      <c r="K18" s="426">
        <v>45.38</v>
      </c>
      <c r="L18" s="574">
        <f t="shared" si="6"/>
        <v>103.98457470251211</v>
      </c>
      <c r="M18" s="571">
        <v>60</v>
      </c>
      <c r="N18" s="585">
        <f t="shared" si="7"/>
        <v>78.646999999999991</v>
      </c>
      <c r="O18" s="575">
        <f t="shared" ca="1" si="8"/>
        <v>99</v>
      </c>
      <c r="P18" s="434">
        <f t="shared" ca="1" si="9"/>
        <v>-3067.2329999999993</v>
      </c>
      <c r="Q18" s="434">
        <f t="shared" ca="1" si="4"/>
        <v>1</v>
      </c>
      <c r="R18" s="570" t="s">
        <v>2663</v>
      </c>
    </row>
    <row r="19" spans="1:18" s="1" customFormat="1" ht="49.9" customHeight="1" x14ac:dyDescent="0.2">
      <c r="A19" s="330"/>
      <c r="B19" s="569">
        <v>42344</v>
      </c>
      <c r="C19" s="569" t="s">
        <v>2351</v>
      </c>
      <c r="D19" s="570" t="s">
        <v>2688</v>
      </c>
      <c r="E19" s="571" t="s">
        <v>2689</v>
      </c>
      <c r="F19" s="572" t="s">
        <v>2690</v>
      </c>
      <c r="G19" s="571" t="s">
        <v>2691</v>
      </c>
      <c r="H19" s="571" t="s">
        <v>60</v>
      </c>
      <c r="I19" s="571" t="s">
        <v>2692</v>
      </c>
      <c r="J19" s="426">
        <v>22500</v>
      </c>
      <c r="K19" s="426">
        <v>45.38</v>
      </c>
      <c r="L19" s="574">
        <f t="shared" si="6"/>
        <v>495.81313353900396</v>
      </c>
      <c r="M19" s="571">
        <v>60</v>
      </c>
      <c r="N19" s="585">
        <f t="shared" ref="N19:N39" si="10">IF(AND(J19&lt;&gt;0,M19&lt;&gt;0),J19/M19,0)</f>
        <v>375</v>
      </c>
      <c r="O19" s="575">
        <f t="shared" ca="1" si="8"/>
        <v>99</v>
      </c>
      <c r="P19" s="434">
        <f t="shared" ca="1" si="9"/>
        <v>-14625</v>
      </c>
      <c r="Q19" s="434">
        <f t="shared" ca="1" si="4"/>
        <v>1</v>
      </c>
      <c r="R19" s="570" t="s">
        <v>1328</v>
      </c>
    </row>
    <row r="20" spans="1:18" s="1" customFormat="1" ht="49.9" customHeight="1" x14ac:dyDescent="0.2">
      <c r="A20" s="330"/>
      <c r="B20" s="435">
        <v>42458</v>
      </c>
      <c r="C20" s="569" t="s">
        <v>2351</v>
      </c>
      <c r="D20" s="418" t="s">
        <v>2693</v>
      </c>
      <c r="E20" s="419" t="s">
        <v>2694</v>
      </c>
      <c r="F20" s="420" t="s">
        <v>2695</v>
      </c>
      <c r="G20" s="419" t="s">
        <v>2696</v>
      </c>
      <c r="H20" s="419" t="s">
        <v>2697</v>
      </c>
      <c r="I20" s="419" t="s">
        <v>19</v>
      </c>
      <c r="J20" s="430">
        <v>95403</v>
      </c>
      <c r="K20" s="430">
        <v>45.736600000000003</v>
      </c>
      <c r="L20" s="581">
        <f t="shared" si="6"/>
        <v>2085.9224341118488</v>
      </c>
      <c r="M20" s="578">
        <v>60</v>
      </c>
      <c r="N20" s="421">
        <f t="shared" si="10"/>
        <v>1590.05</v>
      </c>
      <c r="O20" s="422">
        <f t="shared" ca="1" si="8"/>
        <v>95</v>
      </c>
      <c r="P20" s="583">
        <f t="shared" ca="1" si="9"/>
        <v>-55651.75</v>
      </c>
      <c r="Q20" s="434">
        <f t="shared" ca="1" si="4"/>
        <v>1</v>
      </c>
      <c r="R20" s="418" t="s">
        <v>2698</v>
      </c>
    </row>
    <row r="21" spans="1:18" s="1" customFormat="1" ht="49.9" customHeight="1" x14ac:dyDescent="0.2">
      <c r="A21" s="330"/>
      <c r="B21" s="435">
        <v>42458</v>
      </c>
      <c r="C21" s="569" t="s">
        <v>2351</v>
      </c>
      <c r="D21" s="418" t="s">
        <v>2693</v>
      </c>
      <c r="E21" s="419" t="s">
        <v>2699</v>
      </c>
      <c r="F21" s="420" t="s">
        <v>2695</v>
      </c>
      <c r="G21" s="419" t="s">
        <v>2700</v>
      </c>
      <c r="H21" s="419" t="s">
        <v>2701</v>
      </c>
      <c r="I21" s="419" t="s">
        <v>19</v>
      </c>
      <c r="J21" s="430">
        <v>95403</v>
      </c>
      <c r="K21" s="430">
        <v>45.736600000000003</v>
      </c>
      <c r="L21" s="581">
        <f t="shared" si="6"/>
        <v>2085.9224341118488</v>
      </c>
      <c r="M21" s="578">
        <v>60</v>
      </c>
      <c r="N21" s="421">
        <f t="shared" si="10"/>
        <v>1590.05</v>
      </c>
      <c r="O21" s="422">
        <f t="shared" ca="1" si="8"/>
        <v>95</v>
      </c>
      <c r="P21" s="583">
        <f t="shared" ca="1" si="9"/>
        <v>-55651.75</v>
      </c>
      <c r="Q21" s="434">
        <f t="shared" ca="1" si="4"/>
        <v>1</v>
      </c>
      <c r="R21" s="418" t="s">
        <v>2698</v>
      </c>
    </row>
    <row r="22" spans="1:18" s="1" customFormat="1" ht="49.9" customHeight="1" x14ac:dyDescent="0.2">
      <c r="A22" s="330"/>
      <c r="B22" s="427">
        <v>42460</v>
      </c>
      <c r="C22" s="569" t="s">
        <v>2351</v>
      </c>
      <c r="D22" s="409" t="s">
        <v>2702</v>
      </c>
      <c r="E22" s="408" t="s">
        <v>2703</v>
      </c>
      <c r="F22" s="407" t="s">
        <v>2704</v>
      </c>
      <c r="G22" s="408" t="s">
        <v>2705</v>
      </c>
      <c r="H22" s="408" t="s">
        <v>2706</v>
      </c>
      <c r="I22" s="408" t="s">
        <v>19</v>
      </c>
      <c r="J22" s="426">
        <v>126117.81</v>
      </c>
      <c r="K22" s="426">
        <v>45.735500000000002</v>
      </c>
      <c r="L22" s="574">
        <f t="shared" si="6"/>
        <v>2757.5474194006842</v>
      </c>
      <c r="M22" s="578">
        <v>60</v>
      </c>
      <c r="N22" s="415">
        <f t="shared" si="10"/>
        <v>2101.9634999999998</v>
      </c>
      <c r="O22" s="416">
        <f t="shared" ca="1" si="8"/>
        <v>95</v>
      </c>
      <c r="P22" s="434">
        <f t="shared" ref="P22:P39" ca="1" si="11">IF(OR(J22=0,M22=0,O22=0),0,J22-(N22*O22))</f>
        <v>-73568.722499999974</v>
      </c>
      <c r="Q22" s="434">
        <f t="shared" ca="1" si="4"/>
        <v>1</v>
      </c>
      <c r="R22" s="409" t="s">
        <v>2707</v>
      </c>
    </row>
    <row r="23" spans="1:18" s="1" customFormat="1" ht="49.9" customHeight="1" x14ac:dyDescent="0.2">
      <c r="A23" s="330"/>
      <c r="B23" s="435">
        <v>42524</v>
      </c>
      <c r="C23" s="569" t="s">
        <v>2351</v>
      </c>
      <c r="D23" s="418" t="s">
        <v>2708</v>
      </c>
      <c r="E23" s="419" t="s">
        <v>2709</v>
      </c>
      <c r="F23" s="420" t="s">
        <v>2710</v>
      </c>
      <c r="G23" s="419" t="s">
        <v>2711</v>
      </c>
      <c r="H23" s="419" t="s">
        <v>2712</v>
      </c>
      <c r="I23" s="419" t="s">
        <v>19</v>
      </c>
      <c r="J23" s="430">
        <v>54390</v>
      </c>
      <c r="K23" s="430">
        <v>45.829599999999999</v>
      </c>
      <c r="L23" s="581">
        <f t="shared" si="6"/>
        <v>1186.7875783336533</v>
      </c>
      <c r="M23" s="578">
        <v>60</v>
      </c>
      <c r="N23" s="421">
        <f t="shared" si="10"/>
        <v>906.5</v>
      </c>
      <c r="O23" s="422">
        <f t="shared" ca="1" si="8"/>
        <v>93</v>
      </c>
      <c r="P23" s="583">
        <f t="shared" ca="1" si="11"/>
        <v>-29914.5</v>
      </c>
      <c r="Q23" s="434">
        <f t="shared" ca="1" si="4"/>
        <v>1</v>
      </c>
      <c r="R23" s="418" t="s">
        <v>2713</v>
      </c>
    </row>
    <row r="24" spans="1:18" s="1" customFormat="1" ht="49.9" customHeight="1" x14ac:dyDescent="0.2">
      <c r="A24" s="330"/>
      <c r="B24" s="435">
        <v>42524</v>
      </c>
      <c r="C24" s="569" t="s">
        <v>2351</v>
      </c>
      <c r="D24" s="418" t="s">
        <v>2708</v>
      </c>
      <c r="E24" s="419" t="s">
        <v>2714</v>
      </c>
      <c r="F24" s="420" t="s">
        <v>2715</v>
      </c>
      <c r="G24" s="419" t="s">
        <v>2716</v>
      </c>
      <c r="H24" s="419" t="s">
        <v>2717</v>
      </c>
      <c r="I24" s="419" t="s">
        <v>19</v>
      </c>
      <c r="J24" s="430">
        <v>54390</v>
      </c>
      <c r="K24" s="430">
        <v>45.829599999999999</v>
      </c>
      <c r="L24" s="581">
        <f t="shared" si="6"/>
        <v>1186.7875783336533</v>
      </c>
      <c r="M24" s="578">
        <v>60</v>
      </c>
      <c r="N24" s="421">
        <f t="shared" si="10"/>
        <v>906.5</v>
      </c>
      <c r="O24" s="422">
        <f t="shared" ca="1" si="8"/>
        <v>93</v>
      </c>
      <c r="P24" s="583">
        <f t="shared" ca="1" si="11"/>
        <v>-29914.5</v>
      </c>
      <c r="Q24" s="434">
        <f t="shared" ca="1" si="4"/>
        <v>1</v>
      </c>
      <c r="R24" s="418" t="s">
        <v>2713</v>
      </c>
    </row>
    <row r="25" spans="1:18" s="1" customFormat="1" ht="49.9" customHeight="1" x14ac:dyDescent="0.2">
      <c r="A25" s="330"/>
      <c r="B25" s="435">
        <v>42524</v>
      </c>
      <c r="C25" s="569" t="s">
        <v>2351</v>
      </c>
      <c r="D25" s="418" t="s">
        <v>2708</v>
      </c>
      <c r="E25" s="419" t="s">
        <v>2718</v>
      </c>
      <c r="F25" s="420" t="s">
        <v>2715</v>
      </c>
      <c r="G25" s="419" t="s">
        <v>2719</v>
      </c>
      <c r="H25" s="419" t="s">
        <v>60</v>
      </c>
      <c r="I25" s="419" t="s">
        <v>19</v>
      </c>
      <c r="J25" s="430">
        <v>54390</v>
      </c>
      <c r="K25" s="430">
        <v>45.829599999999999</v>
      </c>
      <c r="L25" s="581">
        <f t="shared" si="6"/>
        <v>1186.7875783336533</v>
      </c>
      <c r="M25" s="578">
        <v>60</v>
      </c>
      <c r="N25" s="421">
        <f t="shared" si="10"/>
        <v>906.5</v>
      </c>
      <c r="O25" s="422">
        <f t="shared" ca="1" si="8"/>
        <v>93</v>
      </c>
      <c r="P25" s="583">
        <f t="shared" ca="1" si="11"/>
        <v>-29914.5</v>
      </c>
      <c r="Q25" s="434">
        <f t="shared" ca="1" si="4"/>
        <v>1</v>
      </c>
      <c r="R25" s="418" t="s">
        <v>2713</v>
      </c>
    </row>
    <row r="26" spans="1:18" s="1" customFormat="1" ht="49.9" customHeight="1" x14ac:dyDescent="0.2">
      <c r="A26" s="330"/>
      <c r="B26" s="435">
        <v>42524</v>
      </c>
      <c r="C26" s="569" t="s">
        <v>2351</v>
      </c>
      <c r="D26" s="418" t="s">
        <v>2708</v>
      </c>
      <c r="E26" s="419" t="s">
        <v>2720</v>
      </c>
      <c r="F26" s="420" t="s">
        <v>2715</v>
      </c>
      <c r="G26" s="419" t="s">
        <v>2721</v>
      </c>
      <c r="H26" s="419" t="s">
        <v>2722</v>
      </c>
      <c r="I26" s="419" t="s">
        <v>19</v>
      </c>
      <c r="J26" s="430">
        <v>54390</v>
      </c>
      <c r="K26" s="430">
        <v>45.829599999999999</v>
      </c>
      <c r="L26" s="581">
        <f t="shared" si="6"/>
        <v>1186.7875783336533</v>
      </c>
      <c r="M26" s="578">
        <v>60</v>
      </c>
      <c r="N26" s="421">
        <f t="shared" si="10"/>
        <v>906.5</v>
      </c>
      <c r="O26" s="422">
        <f t="shared" ca="1" si="8"/>
        <v>93</v>
      </c>
      <c r="P26" s="583">
        <f t="shared" ca="1" si="11"/>
        <v>-29914.5</v>
      </c>
      <c r="Q26" s="434">
        <f t="shared" ca="1" si="4"/>
        <v>1</v>
      </c>
      <c r="R26" s="418" t="s">
        <v>2713</v>
      </c>
    </row>
    <row r="27" spans="1:18" s="1" customFormat="1" ht="49.9" customHeight="1" x14ac:dyDescent="0.2">
      <c r="A27" s="330"/>
      <c r="B27" s="435">
        <v>42524</v>
      </c>
      <c r="C27" s="569" t="s">
        <v>2351</v>
      </c>
      <c r="D27" s="418" t="s">
        <v>2708</v>
      </c>
      <c r="E27" s="419" t="s">
        <v>2723</v>
      </c>
      <c r="F27" s="420" t="s">
        <v>2715</v>
      </c>
      <c r="G27" s="419" t="s">
        <v>2724</v>
      </c>
      <c r="H27" s="419" t="s">
        <v>2725</v>
      </c>
      <c r="I27" s="419" t="s">
        <v>19</v>
      </c>
      <c r="J27" s="430">
        <v>54390</v>
      </c>
      <c r="K27" s="430">
        <v>45.829599999999999</v>
      </c>
      <c r="L27" s="581">
        <f t="shared" si="6"/>
        <v>1186.7875783336533</v>
      </c>
      <c r="M27" s="578">
        <v>60</v>
      </c>
      <c r="N27" s="421">
        <f t="shared" si="10"/>
        <v>906.5</v>
      </c>
      <c r="O27" s="422">
        <f t="shared" ca="1" si="8"/>
        <v>93</v>
      </c>
      <c r="P27" s="583">
        <f t="shared" ca="1" si="11"/>
        <v>-29914.5</v>
      </c>
      <c r="Q27" s="434">
        <f t="shared" ca="1" si="4"/>
        <v>1</v>
      </c>
      <c r="R27" s="418" t="s">
        <v>2713</v>
      </c>
    </row>
    <row r="28" spans="1:18" s="1" customFormat="1" ht="49.9" customHeight="1" x14ac:dyDescent="0.2">
      <c r="A28" s="330"/>
      <c r="B28" s="435">
        <v>42524</v>
      </c>
      <c r="C28" s="569" t="s">
        <v>2351</v>
      </c>
      <c r="D28" s="418" t="s">
        <v>2708</v>
      </c>
      <c r="E28" s="419" t="s">
        <v>2726</v>
      </c>
      <c r="F28" s="420" t="s">
        <v>2715</v>
      </c>
      <c r="G28" s="419" t="s">
        <v>2727</v>
      </c>
      <c r="H28" s="419" t="s">
        <v>2728</v>
      </c>
      <c r="I28" s="419" t="s">
        <v>19</v>
      </c>
      <c r="J28" s="430">
        <v>54390</v>
      </c>
      <c r="K28" s="430">
        <v>45.829599999999999</v>
      </c>
      <c r="L28" s="581">
        <f t="shared" si="6"/>
        <v>1186.7875783336533</v>
      </c>
      <c r="M28" s="578">
        <v>60</v>
      </c>
      <c r="N28" s="421">
        <f t="shared" si="10"/>
        <v>906.5</v>
      </c>
      <c r="O28" s="422">
        <f t="shared" ca="1" si="8"/>
        <v>93</v>
      </c>
      <c r="P28" s="583">
        <f t="shared" ca="1" si="11"/>
        <v>-29914.5</v>
      </c>
      <c r="Q28" s="434">
        <f t="shared" ca="1" si="4"/>
        <v>1</v>
      </c>
      <c r="R28" s="418" t="s">
        <v>2713</v>
      </c>
    </row>
    <row r="29" spans="1:18" s="1" customFormat="1" ht="49.9" customHeight="1" x14ac:dyDescent="0.2">
      <c r="A29" s="330"/>
      <c r="B29" s="435">
        <v>42524</v>
      </c>
      <c r="C29" s="569" t="s">
        <v>2351</v>
      </c>
      <c r="D29" s="418" t="s">
        <v>2708</v>
      </c>
      <c r="E29" s="419" t="s">
        <v>2729</v>
      </c>
      <c r="F29" s="420" t="s">
        <v>2715</v>
      </c>
      <c r="G29" s="419" t="s">
        <v>2730</v>
      </c>
      <c r="H29" s="419" t="s">
        <v>2731</v>
      </c>
      <c r="I29" s="419" t="s">
        <v>19</v>
      </c>
      <c r="J29" s="430">
        <v>54390</v>
      </c>
      <c r="K29" s="430">
        <v>45.829599999999999</v>
      </c>
      <c r="L29" s="581">
        <f t="shared" si="6"/>
        <v>1186.7875783336533</v>
      </c>
      <c r="M29" s="578">
        <v>60</v>
      </c>
      <c r="N29" s="421">
        <f t="shared" si="10"/>
        <v>906.5</v>
      </c>
      <c r="O29" s="422">
        <f t="shared" ca="1" si="8"/>
        <v>93</v>
      </c>
      <c r="P29" s="583">
        <f t="shared" ca="1" si="11"/>
        <v>-29914.5</v>
      </c>
      <c r="Q29" s="434">
        <f t="shared" ca="1" si="4"/>
        <v>1</v>
      </c>
      <c r="R29" s="418" t="s">
        <v>2713</v>
      </c>
    </row>
    <row r="30" spans="1:18" s="1" customFormat="1" ht="49.9" customHeight="1" x14ac:dyDescent="0.2">
      <c r="A30" s="330"/>
      <c r="B30" s="435">
        <v>42524</v>
      </c>
      <c r="C30" s="569" t="s">
        <v>2351</v>
      </c>
      <c r="D30" s="418" t="s">
        <v>2708</v>
      </c>
      <c r="E30" s="419" t="s">
        <v>2732</v>
      </c>
      <c r="F30" s="420" t="s">
        <v>2715</v>
      </c>
      <c r="G30" s="419" t="s">
        <v>2733</v>
      </c>
      <c r="H30" s="419" t="s">
        <v>2734</v>
      </c>
      <c r="I30" s="419" t="s">
        <v>19</v>
      </c>
      <c r="J30" s="430">
        <v>54390</v>
      </c>
      <c r="K30" s="430">
        <v>45.829599999999999</v>
      </c>
      <c r="L30" s="581">
        <f t="shared" si="6"/>
        <v>1186.7875783336533</v>
      </c>
      <c r="M30" s="578">
        <v>60</v>
      </c>
      <c r="N30" s="421">
        <f t="shared" si="10"/>
        <v>906.5</v>
      </c>
      <c r="O30" s="422">
        <f t="shared" ca="1" si="8"/>
        <v>93</v>
      </c>
      <c r="P30" s="583">
        <f t="shared" ca="1" si="11"/>
        <v>-29914.5</v>
      </c>
      <c r="Q30" s="434">
        <f t="shared" ca="1" si="4"/>
        <v>1</v>
      </c>
      <c r="R30" s="418" t="s">
        <v>2713</v>
      </c>
    </row>
    <row r="31" spans="1:18" s="1" customFormat="1" ht="49.9" customHeight="1" x14ac:dyDescent="0.2">
      <c r="A31" s="330"/>
      <c r="B31" s="435">
        <v>42732</v>
      </c>
      <c r="C31" s="569" t="s">
        <v>2351</v>
      </c>
      <c r="D31" s="418" t="s">
        <v>2735</v>
      </c>
      <c r="E31" s="419" t="s">
        <v>2736</v>
      </c>
      <c r="F31" s="420" t="s">
        <v>2737</v>
      </c>
      <c r="G31" s="419" t="s">
        <v>2738</v>
      </c>
      <c r="H31" s="419" t="s">
        <v>765</v>
      </c>
      <c r="I31" s="419" t="s">
        <v>19</v>
      </c>
      <c r="J31" s="430">
        <v>41693.24</v>
      </c>
      <c r="K31" s="430">
        <v>46.6492</v>
      </c>
      <c r="L31" s="581">
        <f t="shared" si="6"/>
        <v>893.76109343782957</v>
      </c>
      <c r="M31" s="578">
        <v>60</v>
      </c>
      <c r="N31" s="421">
        <f t="shared" si="10"/>
        <v>694.88733333333334</v>
      </c>
      <c r="O31" s="422">
        <f t="shared" ca="1" si="8"/>
        <v>86</v>
      </c>
      <c r="P31" s="583">
        <f t="shared" ca="1" si="11"/>
        <v>-18067.070666666667</v>
      </c>
      <c r="Q31" s="434">
        <f t="shared" ca="1" si="4"/>
        <v>1</v>
      </c>
      <c r="R31" s="418" t="s">
        <v>2739</v>
      </c>
    </row>
    <row r="32" spans="1:18" s="1" customFormat="1" ht="49.9" customHeight="1" x14ac:dyDescent="0.2">
      <c r="A32" s="330"/>
      <c r="B32" s="435">
        <v>42732</v>
      </c>
      <c r="C32" s="569" t="s">
        <v>2351</v>
      </c>
      <c r="D32" s="418" t="s">
        <v>2735</v>
      </c>
      <c r="E32" s="419" t="s">
        <v>2740</v>
      </c>
      <c r="F32" s="420" t="s">
        <v>2741</v>
      </c>
      <c r="G32" s="419" t="s">
        <v>2742</v>
      </c>
      <c r="H32" s="419" t="s">
        <v>765</v>
      </c>
      <c r="I32" s="419" t="s">
        <v>19</v>
      </c>
      <c r="J32" s="430">
        <f>3696.75+665.42</f>
        <v>4362.17</v>
      </c>
      <c r="K32" s="430">
        <v>46.6492</v>
      </c>
      <c r="L32" s="581">
        <f t="shared" si="6"/>
        <v>93.510070912255728</v>
      </c>
      <c r="M32" s="578">
        <v>60</v>
      </c>
      <c r="N32" s="421">
        <f t="shared" si="10"/>
        <v>72.702833333333331</v>
      </c>
      <c r="O32" s="422">
        <f t="shared" ca="1" si="8"/>
        <v>86</v>
      </c>
      <c r="P32" s="583">
        <f t="shared" ca="1" si="11"/>
        <v>-1890.273666666666</v>
      </c>
      <c r="Q32" s="434">
        <f t="shared" ca="1" si="4"/>
        <v>1</v>
      </c>
      <c r="R32" s="418" t="s">
        <v>2739</v>
      </c>
    </row>
    <row r="33" spans="1:18" s="1" customFormat="1" ht="49.9" customHeight="1" x14ac:dyDescent="0.2">
      <c r="A33" s="330"/>
      <c r="B33" s="435">
        <v>42732</v>
      </c>
      <c r="C33" s="569" t="s">
        <v>2351</v>
      </c>
      <c r="D33" s="418" t="s">
        <v>2735</v>
      </c>
      <c r="E33" s="419" t="s">
        <v>2743</v>
      </c>
      <c r="F33" s="420" t="s">
        <v>2744</v>
      </c>
      <c r="G33" s="419" t="s">
        <v>2745</v>
      </c>
      <c r="H33" s="419" t="s">
        <v>765</v>
      </c>
      <c r="I33" s="419" t="s">
        <v>19</v>
      </c>
      <c r="J33" s="430">
        <f>10998.85/3</f>
        <v>3666.2833333333333</v>
      </c>
      <c r="K33" s="430">
        <v>46.6492</v>
      </c>
      <c r="L33" s="581">
        <f t="shared" si="6"/>
        <v>78.592630384515346</v>
      </c>
      <c r="M33" s="578">
        <v>60</v>
      </c>
      <c r="N33" s="421">
        <f t="shared" si="10"/>
        <v>61.104722222222222</v>
      </c>
      <c r="O33" s="422">
        <f t="shared" ca="1" si="8"/>
        <v>86</v>
      </c>
      <c r="P33" s="583">
        <f t="shared" ca="1" si="11"/>
        <v>-1588.7227777777775</v>
      </c>
      <c r="Q33" s="434">
        <f t="shared" ca="1" si="4"/>
        <v>1</v>
      </c>
      <c r="R33" s="418" t="s">
        <v>2739</v>
      </c>
    </row>
    <row r="34" spans="1:18" s="1" customFormat="1" ht="49.9" customHeight="1" x14ac:dyDescent="0.2">
      <c r="A34" s="330"/>
      <c r="B34" s="435">
        <v>42732</v>
      </c>
      <c r="C34" s="569" t="s">
        <v>2351</v>
      </c>
      <c r="D34" s="418" t="s">
        <v>2735</v>
      </c>
      <c r="E34" s="419" t="s">
        <v>2746</v>
      </c>
      <c r="F34" s="420" t="s">
        <v>2744</v>
      </c>
      <c r="G34" s="419" t="s">
        <v>2747</v>
      </c>
      <c r="H34" s="419" t="s">
        <v>34</v>
      </c>
      <c r="I34" s="419" t="s">
        <v>19</v>
      </c>
      <c r="J34" s="430">
        <f>10998.85/3</f>
        <v>3666.2833333333333</v>
      </c>
      <c r="K34" s="430">
        <v>46.6492</v>
      </c>
      <c r="L34" s="581">
        <f t="shared" si="6"/>
        <v>78.592630384515346</v>
      </c>
      <c r="M34" s="578">
        <v>60</v>
      </c>
      <c r="N34" s="421">
        <f t="shared" si="10"/>
        <v>61.104722222222222</v>
      </c>
      <c r="O34" s="422">
        <f t="shared" ca="1" si="8"/>
        <v>86</v>
      </c>
      <c r="P34" s="583">
        <f t="shared" ca="1" si="11"/>
        <v>-1588.7227777777775</v>
      </c>
      <c r="Q34" s="434">
        <f t="shared" ca="1" si="4"/>
        <v>1</v>
      </c>
      <c r="R34" s="418" t="s">
        <v>2739</v>
      </c>
    </row>
    <row r="35" spans="1:18" s="1" customFormat="1" ht="49.9" customHeight="1" x14ac:dyDescent="0.2">
      <c r="A35" s="330"/>
      <c r="B35" s="435">
        <v>42732</v>
      </c>
      <c r="C35" s="569" t="s">
        <v>2351</v>
      </c>
      <c r="D35" s="418" t="s">
        <v>2735</v>
      </c>
      <c r="E35" s="419" t="s">
        <v>2748</v>
      </c>
      <c r="F35" s="420" t="s">
        <v>2744</v>
      </c>
      <c r="G35" s="419" t="s">
        <v>2749</v>
      </c>
      <c r="H35" s="419" t="s">
        <v>2750</v>
      </c>
      <c r="I35" s="419" t="s">
        <v>19</v>
      </c>
      <c r="J35" s="430">
        <f>10998.85/3</f>
        <v>3666.2833333333333</v>
      </c>
      <c r="K35" s="430">
        <v>46.6492</v>
      </c>
      <c r="L35" s="581">
        <f t="shared" si="6"/>
        <v>78.592630384515346</v>
      </c>
      <c r="M35" s="578">
        <v>60</v>
      </c>
      <c r="N35" s="421">
        <f t="shared" si="10"/>
        <v>61.104722222222222</v>
      </c>
      <c r="O35" s="422">
        <f t="shared" ca="1" si="8"/>
        <v>86</v>
      </c>
      <c r="P35" s="583">
        <f t="shared" ca="1" si="11"/>
        <v>-1588.7227777777775</v>
      </c>
      <c r="Q35" s="434">
        <f t="shared" ca="1" si="4"/>
        <v>1</v>
      </c>
      <c r="R35" s="418" t="s">
        <v>2739</v>
      </c>
    </row>
    <row r="36" spans="1:18" s="1" customFormat="1" ht="49.9" customHeight="1" x14ac:dyDescent="0.2">
      <c r="A36" s="330"/>
      <c r="B36" s="435">
        <v>42809</v>
      </c>
      <c r="C36" s="569" t="s">
        <v>2351</v>
      </c>
      <c r="D36" s="418" t="s">
        <v>2751</v>
      </c>
      <c r="E36" s="419" t="s">
        <v>2752</v>
      </c>
      <c r="F36" s="420" t="s">
        <v>2753</v>
      </c>
      <c r="G36" s="419" t="s">
        <v>2754</v>
      </c>
      <c r="H36" s="419" t="s">
        <v>2755</v>
      </c>
      <c r="I36" s="419" t="s">
        <v>19</v>
      </c>
      <c r="J36" s="430">
        <v>42523.65</v>
      </c>
      <c r="K36" s="430">
        <v>47.201700000000002</v>
      </c>
      <c r="L36" s="581">
        <f t="shared" si="6"/>
        <v>900.89234074196474</v>
      </c>
      <c r="M36" s="578">
        <v>60</v>
      </c>
      <c r="N36" s="421">
        <f t="shared" si="10"/>
        <v>708.72750000000008</v>
      </c>
      <c r="O36" s="422">
        <f t="shared" ca="1" si="8"/>
        <v>83</v>
      </c>
      <c r="P36" s="583">
        <f t="shared" ca="1" si="11"/>
        <v>-16300.732500000006</v>
      </c>
      <c r="Q36" s="434">
        <f t="shared" ca="1" si="4"/>
        <v>1</v>
      </c>
      <c r="R36" s="418" t="s">
        <v>2756</v>
      </c>
    </row>
    <row r="37" spans="1:18" s="1" customFormat="1" ht="49.9" customHeight="1" x14ac:dyDescent="0.2">
      <c r="A37" s="330"/>
      <c r="B37" s="435">
        <v>42824</v>
      </c>
      <c r="C37" s="569" t="s">
        <v>2351</v>
      </c>
      <c r="D37" s="418" t="s">
        <v>2757</v>
      </c>
      <c r="E37" s="419" t="s">
        <v>2758</v>
      </c>
      <c r="F37" s="420" t="s">
        <v>2759</v>
      </c>
      <c r="G37" s="419" t="s">
        <v>28</v>
      </c>
      <c r="H37" s="419" t="s">
        <v>60</v>
      </c>
      <c r="I37" s="419" t="s">
        <v>19</v>
      </c>
      <c r="J37" s="430">
        <f>14183.22+2552.98</f>
        <v>16736.2</v>
      </c>
      <c r="K37" s="430">
        <v>47.263399999999997</v>
      </c>
      <c r="L37" s="581">
        <f t="shared" si="6"/>
        <v>354.10486761426392</v>
      </c>
      <c r="M37" s="578">
        <v>60</v>
      </c>
      <c r="N37" s="421">
        <f t="shared" si="10"/>
        <v>278.93666666666667</v>
      </c>
      <c r="O37" s="422">
        <f t="shared" ca="1" si="8"/>
        <v>83</v>
      </c>
      <c r="P37" s="583">
        <f t="shared" ca="1" si="11"/>
        <v>-6415.5433333333312</v>
      </c>
      <c r="Q37" s="434">
        <f t="shared" ca="1" si="4"/>
        <v>1</v>
      </c>
      <c r="R37" s="418" t="s">
        <v>2756</v>
      </c>
    </row>
    <row r="38" spans="1:18" s="1" customFormat="1" ht="49.9" customHeight="1" x14ac:dyDescent="0.2">
      <c r="A38" s="330"/>
      <c r="B38" s="435">
        <v>42824</v>
      </c>
      <c r="C38" s="569" t="s">
        <v>2351</v>
      </c>
      <c r="D38" s="418" t="s">
        <v>2757</v>
      </c>
      <c r="E38" s="419" t="s">
        <v>2760</v>
      </c>
      <c r="F38" s="420" t="s">
        <v>2761</v>
      </c>
      <c r="G38" s="419" t="s">
        <v>28</v>
      </c>
      <c r="H38" s="419" t="s">
        <v>60</v>
      </c>
      <c r="I38" s="419" t="s">
        <v>19</v>
      </c>
      <c r="J38" s="430">
        <f>2426.09+436.7</f>
        <v>2862.79</v>
      </c>
      <c r="K38" s="430">
        <v>47.263399999999997</v>
      </c>
      <c r="L38" s="581">
        <f t="shared" si="6"/>
        <v>60.570970349149661</v>
      </c>
      <c r="M38" s="578">
        <v>60</v>
      </c>
      <c r="N38" s="421">
        <f t="shared" si="10"/>
        <v>47.713166666666666</v>
      </c>
      <c r="O38" s="422">
        <f t="shared" ca="1" si="8"/>
        <v>83</v>
      </c>
      <c r="P38" s="583">
        <f t="shared" ca="1" si="11"/>
        <v>-1097.4028333333335</v>
      </c>
      <c r="Q38" s="434">
        <f t="shared" ca="1" si="4"/>
        <v>1</v>
      </c>
      <c r="R38" s="418" t="s">
        <v>2756</v>
      </c>
    </row>
    <row r="39" spans="1:18" s="1" customFormat="1" ht="49.9" customHeight="1" x14ac:dyDescent="0.2">
      <c r="A39" s="330"/>
      <c r="B39" s="435">
        <v>42824</v>
      </c>
      <c r="C39" s="569" t="s">
        <v>2351</v>
      </c>
      <c r="D39" s="418" t="s">
        <v>2757</v>
      </c>
      <c r="E39" s="419" t="s">
        <v>2762</v>
      </c>
      <c r="F39" s="420" t="s">
        <v>2763</v>
      </c>
      <c r="G39" s="419" t="s">
        <v>2764</v>
      </c>
      <c r="H39" s="419" t="s">
        <v>2765</v>
      </c>
      <c r="I39" s="419" t="s">
        <v>19</v>
      </c>
      <c r="J39" s="430">
        <f>7120.74+1281.73</f>
        <v>8402.4699999999993</v>
      </c>
      <c r="K39" s="430">
        <v>47.263399999999997</v>
      </c>
      <c r="L39" s="581">
        <f t="shared" si="6"/>
        <v>177.77963498182527</v>
      </c>
      <c r="M39" s="578">
        <v>60</v>
      </c>
      <c r="N39" s="421">
        <f t="shared" si="10"/>
        <v>140.04116666666667</v>
      </c>
      <c r="O39" s="422">
        <f t="shared" ca="1" si="8"/>
        <v>83</v>
      </c>
      <c r="P39" s="583">
        <f t="shared" ca="1" si="11"/>
        <v>-3220.9468333333334</v>
      </c>
      <c r="Q39" s="434">
        <f t="shared" ca="1" si="4"/>
        <v>1</v>
      </c>
      <c r="R39" s="418" t="s">
        <v>2756</v>
      </c>
    </row>
    <row r="40" spans="1:18" s="1" customFormat="1" ht="5.25" customHeight="1" x14ac:dyDescent="0.2">
      <c r="A40" s="330"/>
      <c r="B40" s="586"/>
      <c r="C40" s="586"/>
      <c r="D40" s="587"/>
      <c r="E40" s="587"/>
      <c r="F40" s="587"/>
      <c r="G40" s="588"/>
      <c r="H40" s="588"/>
      <c r="I40" s="588"/>
      <c r="J40" s="589"/>
      <c r="K40" s="589"/>
      <c r="L40" s="589"/>
      <c r="M40" s="587"/>
      <c r="N40" s="590"/>
      <c r="O40" s="590"/>
      <c r="P40" s="590"/>
      <c r="Q40" s="590"/>
      <c r="R40" s="587"/>
    </row>
    <row r="41" spans="1:18" s="1" customFormat="1" ht="15.75" customHeight="1" x14ac:dyDescent="0.2">
      <c r="A41" s="330"/>
      <c r="B41" s="591"/>
      <c r="C41" s="592"/>
      <c r="D41" s="593"/>
      <c r="E41" s="842" t="s">
        <v>2334</v>
      </c>
      <c r="F41" s="842"/>
      <c r="G41" s="842"/>
      <c r="H41" s="842"/>
      <c r="I41" s="347"/>
      <c r="J41" s="123">
        <f>SUBTOTAL(9,J7:J39)</f>
        <v>984598.1</v>
      </c>
      <c r="K41" s="365"/>
      <c r="L41" s="123">
        <f>SUBTOTAL(9,L7:L39)</f>
        <v>21453.331740293605</v>
      </c>
      <c r="M41" s="366"/>
      <c r="N41" s="367"/>
      <c r="O41" s="368"/>
      <c r="P41" s="123">
        <f ca="1">SUBTOTAL(9,P7:P39)</f>
        <v>-509750.54756045237</v>
      </c>
      <c r="Q41" s="124">
        <f ca="1">SUM(Q7:Q39)</f>
        <v>33</v>
      </c>
      <c r="R41" s="594"/>
    </row>
    <row r="42" spans="1:18" s="1" customFormat="1" ht="6.75" customHeight="1" x14ac:dyDescent="0.2">
      <c r="B42" s="68"/>
      <c r="C42" s="529"/>
      <c r="D42" s="69"/>
      <c r="E42" s="69"/>
      <c r="F42" s="70"/>
      <c r="G42" s="69"/>
      <c r="H42" s="71"/>
      <c r="I42" s="71"/>
      <c r="J42" s="76"/>
      <c r="L42" s="125"/>
      <c r="M42" s="126"/>
      <c r="N42" s="127"/>
      <c r="O42" s="128"/>
      <c r="P42" s="125"/>
      <c r="Q42" s="125"/>
      <c r="R42" s="150"/>
    </row>
    <row r="43" spans="1:18" s="1" customFormat="1" ht="6.75" customHeight="1" x14ac:dyDescent="0.2">
      <c r="B43" s="68"/>
      <c r="C43" s="529"/>
      <c r="D43" s="69"/>
      <c r="E43" s="69"/>
      <c r="F43" s="70"/>
      <c r="G43" s="71"/>
      <c r="H43" s="71"/>
      <c r="I43" s="71"/>
      <c r="J43" s="76"/>
      <c r="L43" s="125"/>
      <c r="M43" s="126"/>
      <c r="N43" s="127"/>
      <c r="O43" s="128"/>
      <c r="P43" s="125"/>
      <c r="Q43" s="125"/>
      <c r="R43" s="150"/>
    </row>
    <row r="44" spans="1:18" s="1" customFormat="1" ht="17.45" customHeight="1" x14ac:dyDescent="0.2">
      <c r="B44" s="68"/>
      <c r="C44" s="529"/>
      <c r="D44" s="69"/>
      <c r="E44" s="69"/>
      <c r="F44" s="70"/>
      <c r="G44" s="71"/>
      <c r="H44" s="71"/>
      <c r="I44" s="71"/>
      <c r="J44" s="76"/>
      <c r="L44" s="125"/>
      <c r="M44" s="126"/>
      <c r="N44" s="127"/>
      <c r="O44" s="128"/>
      <c r="P44" s="125"/>
      <c r="Q44" s="125"/>
      <c r="R44" s="150"/>
    </row>
    <row r="45" spans="1:18" s="1" customFormat="1" ht="17.45" customHeight="1" x14ac:dyDescent="0.2">
      <c r="B45" s="68"/>
      <c r="C45" s="529"/>
      <c r="D45" s="69"/>
      <c r="E45" s="69"/>
      <c r="F45" s="70"/>
      <c r="G45" s="71"/>
      <c r="H45" s="71"/>
      <c r="I45" s="71"/>
      <c r="J45" s="76"/>
      <c r="L45" s="125"/>
      <c r="M45" s="126"/>
      <c r="N45" s="127"/>
      <c r="O45" s="128"/>
      <c r="P45" s="125"/>
      <c r="Q45" s="125"/>
      <c r="R45" s="150"/>
    </row>
    <row r="46" spans="1:18" s="1" customFormat="1" ht="17.25" customHeight="1" x14ac:dyDescent="0.25">
      <c r="B46" s="68"/>
      <c r="C46" s="529"/>
      <c r="D46" s="72"/>
      <c r="E46" s="72"/>
      <c r="F46" s="70"/>
      <c r="G46" s="849" t="s">
        <v>2335</v>
      </c>
      <c r="H46" s="850"/>
      <c r="I46" s="851"/>
      <c r="J46" s="131" t="s">
        <v>2645</v>
      </c>
      <c r="K46" s="132" t="s">
        <v>2646</v>
      </c>
      <c r="L46" s="125"/>
      <c r="M46" s="150"/>
      <c r="R46" s="108"/>
    </row>
    <row r="47" spans="1:18" s="1" customFormat="1" ht="25.5" x14ac:dyDescent="0.25">
      <c r="B47" s="68"/>
      <c r="C47" s="529"/>
      <c r="D47" s="72"/>
      <c r="E47" s="72"/>
      <c r="F47" s="70"/>
      <c r="G47" s="303"/>
      <c r="H47" s="304" t="s">
        <v>2336</v>
      </c>
      <c r="I47" s="305" t="s">
        <v>2337</v>
      </c>
      <c r="J47" s="131" t="s">
        <v>2766</v>
      </c>
      <c r="K47" s="133" t="s">
        <v>2648</v>
      </c>
      <c r="L47" s="125"/>
      <c r="M47" s="70"/>
      <c r="R47" s="108"/>
    </row>
    <row r="48" spans="1:18" s="1" customFormat="1" ht="19.899999999999999" customHeight="1" x14ac:dyDescent="0.25">
      <c r="B48" s="68"/>
      <c r="C48" s="529"/>
      <c r="D48" s="76"/>
      <c r="E48" s="76"/>
      <c r="F48" s="81"/>
      <c r="G48" s="306" t="s">
        <v>2349</v>
      </c>
      <c r="H48" s="307">
        <f>SUM(J7:J19)</f>
        <v>104974.92000000001</v>
      </c>
      <c r="I48" s="307">
        <f>SUM(L7:L19)</f>
        <v>2313.2419568091673</v>
      </c>
      <c r="J48" s="134"/>
      <c r="K48" s="135"/>
      <c r="L48" s="134"/>
      <c r="M48" s="135"/>
      <c r="N48" s="136"/>
      <c r="O48" s="132"/>
      <c r="P48" s="125"/>
      <c r="Q48" s="125"/>
      <c r="R48" s="150"/>
    </row>
    <row r="49" spans="2:18" s="1" customFormat="1" ht="19.899999999999999" customHeight="1" x14ac:dyDescent="0.2">
      <c r="B49" s="68"/>
      <c r="C49" s="529"/>
      <c r="D49" s="76"/>
      <c r="E49" s="76"/>
      <c r="F49" s="81"/>
      <c r="G49" s="306" t="s">
        <v>2350</v>
      </c>
      <c r="H49" s="307">
        <f>SUM(J20:J35)</f>
        <v>809098.07000000007</v>
      </c>
      <c r="I49" s="307">
        <f>SUM(L20:L35)</f>
        <v>17646.741969797236</v>
      </c>
      <c r="J49" s="134"/>
      <c r="K49" s="135"/>
      <c r="L49" s="134"/>
      <c r="M49" s="135"/>
      <c r="N49" s="127"/>
      <c r="O49" s="128"/>
      <c r="P49" s="125"/>
      <c r="Q49" s="125"/>
      <c r="R49" s="150"/>
    </row>
    <row r="50" spans="2:18" s="1" customFormat="1" ht="19.899999999999999" customHeight="1" x14ac:dyDescent="0.2">
      <c r="B50" s="68"/>
      <c r="C50" s="529"/>
      <c r="D50" s="76"/>
      <c r="E50" s="76"/>
      <c r="F50" s="81"/>
      <c r="G50" s="306" t="s">
        <v>2353</v>
      </c>
      <c r="H50" s="307">
        <f>SUM(J36:J39)</f>
        <v>70525.11</v>
      </c>
      <c r="I50" s="307">
        <f>SUM(L36:L39)</f>
        <v>1493.3478136872034</v>
      </c>
      <c r="J50" s="289" t="s">
        <v>2767</v>
      </c>
      <c r="K50" s="325"/>
      <c r="L50" s="326"/>
      <c r="M50" s="326"/>
      <c r="N50" s="326"/>
      <c r="O50" s="327"/>
      <c r="P50" s="328"/>
      <c r="Q50" s="328"/>
      <c r="R50" s="333"/>
    </row>
    <row r="51" spans="2:18" s="1" customFormat="1" ht="19.899999999999999" customHeight="1" x14ac:dyDescent="0.25">
      <c r="B51" s="68"/>
      <c r="C51" s="529"/>
      <c r="D51" s="76"/>
      <c r="E51" s="76"/>
      <c r="F51" s="81"/>
      <c r="G51" s="308" t="s">
        <v>2354</v>
      </c>
      <c r="H51" s="557">
        <v>0</v>
      </c>
      <c r="I51" s="309" t="s">
        <v>2351</v>
      </c>
      <c r="J51" s="137"/>
      <c r="K51" s="134"/>
      <c r="L51" s="135"/>
      <c r="M51" s="135"/>
      <c r="N51" s="135"/>
      <c r="O51" s="125"/>
      <c r="P51" s="70"/>
      <c r="Q51" s="70"/>
      <c r="R51" s="108"/>
    </row>
    <row r="52" spans="2:18" s="1" customFormat="1" ht="19.899999999999999" customHeight="1" x14ac:dyDescent="0.2">
      <c r="B52" s="68"/>
      <c r="C52" s="529"/>
      <c r="D52" s="76"/>
      <c r="E52" s="76"/>
      <c r="F52" s="81"/>
      <c r="G52" s="306" t="s">
        <v>2355</v>
      </c>
      <c r="H52" s="556">
        <v>0</v>
      </c>
      <c r="I52" s="311" t="s">
        <v>2351</v>
      </c>
      <c r="J52" s="289" t="s">
        <v>2768</v>
      </c>
      <c r="K52" s="329"/>
      <c r="L52" s="326"/>
      <c r="M52" s="326"/>
      <c r="N52" s="326"/>
      <c r="O52" s="327"/>
      <c r="P52" s="328"/>
      <c r="Q52" s="328"/>
      <c r="R52" s="108"/>
    </row>
    <row r="53" spans="2:18" s="1" customFormat="1" ht="19.899999999999999" customHeight="1" x14ac:dyDescent="0.2">
      <c r="B53" s="68"/>
      <c r="C53" s="529"/>
      <c r="D53" s="76"/>
      <c r="E53" s="76"/>
      <c r="F53" s="81"/>
      <c r="G53" s="308" t="s">
        <v>2356</v>
      </c>
      <c r="H53" s="555">
        <v>0</v>
      </c>
      <c r="I53" s="309" t="s">
        <v>2351</v>
      </c>
      <c r="P53" s="70"/>
      <c r="Q53" s="70"/>
      <c r="R53" s="108"/>
    </row>
    <row r="54" spans="2:18" s="1" customFormat="1" ht="19.899999999999999" customHeight="1" x14ac:dyDescent="0.2">
      <c r="B54" s="68"/>
      <c r="C54" s="529"/>
      <c r="D54" s="76"/>
      <c r="E54" s="76"/>
      <c r="F54" s="81"/>
      <c r="G54" s="306" t="s">
        <v>2652</v>
      </c>
      <c r="H54" s="310" t="s">
        <v>2351</v>
      </c>
      <c r="I54" s="311" t="s">
        <v>2351</v>
      </c>
      <c r="P54" s="70"/>
      <c r="Q54" s="70"/>
      <c r="R54" s="108"/>
    </row>
    <row r="55" spans="2:18" s="1" customFormat="1" ht="19.899999999999999" customHeight="1" x14ac:dyDescent="0.2">
      <c r="B55" s="68"/>
      <c r="C55" s="529"/>
      <c r="D55" s="76"/>
      <c r="E55" s="76"/>
      <c r="F55" s="81"/>
      <c r="G55" s="312" t="s">
        <v>2653</v>
      </c>
      <c r="H55" s="554" t="s">
        <v>2351</v>
      </c>
      <c r="I55" s="313" t="s">
        <v>2351</v>
      </c>
      <c r="P55" s="70"/>
      <c r="Q55" s="70"/>
      <c r="R55" s="108"/>
    </row>
    <row r="56" spans="2:18" s="1" customFormat="1" ht="18.75" customHeight="1" x14ac:dyDescent="0.25">
      <c r="B56" s="68"/>
      <c r="C56" s="529"/>
      <c r="D56" s="72"/>
      <c r="E56" s="72"/>
      <c r="F56" s="70"/>
      <c r="G56" s="263" t="s">
        <v>2359</v>
      </c>
      <c r="H56" s="264">
        <f>SUM(H48:H53)</f>
        <v>984598.10000000009</v>
      </c>
      <c r="I56" s="314">
        <f>SUM(I48:I53)</f>
        <v>21453.331740293608</v>
      </c>
      <c r="J56" s="137" t="s">
        <v>2769</v>
      </c>
      <c r="K56" s="148"/>
      <c r="P56" s="70"/>
      <c r="Q56" s="70"/>
      <c r="R56" s="108"/>
    </row>
    <row r="57" spans="2:18" s="1" customFormat="1" x14ac:dyDescent="0.2">
      <c r="B57" s="68"/>
      <c r="C57" s="529"/>
      <c r="D57" s="72"/>
      <c r="E57" s="72"/>
      <c r="F57" s="70"/>
      <c r="G57" s="89"/>
      <c r="H57" s="90"/>
      <c r="I57" s="90"/>
      <c r="J57" s="148"/>
      <c r="K57" s="289" t="s">
        <v>2770</v>
      </c>
      <c r="L57" s="330"/>
      <c r="M57" s="330"/>
      <c r="N57" s="330"/>
      <c r="O57" s="330"/>
      <c r="P57" s="70"/>
      <c r="Q57" s="70"/>
      <c r="R57" s="108"/>
    </row>
    <row r="58" spans="2:18" s="1" customFormat="1" x14ac:dyDescent="0.2">
      <c r="B58" s="68"/>
      <c r="C58" s="529"/>
      <c r="D58" s="72"/>
      <c r="E58" s="72"/>
      <c r="F58" s="70"/>
      <c r="G58" s="89"/>
      <c r="H58" s="90"/>
      <c r="I58" s="90"/>
      <c r="P58" s="70"/>
      <c r="Q58" s="70"/>
      <c r="R58" s="108"/>
    </row>
    <row r="59" spans="2:18" s="1" customFormat="1" ht="15" x14ac:dyDescent="0.25">
      <c r="B59" s="68"/>
      <c r="C59" s="529"/>
      <c r="D59" s="72"/>
      <c r="E59" s="72"/>
      <c r="F59" s="70"/>
      <c r="G59" s="89"/>
      <c r="H59" s="90"/>
      <c r="I59" s="90"/>
      <c r="J59" s="137"/>
      <c r="K59" s="331"/>
      <c r="P59" s="70"/>
      <c r="Q59" s="70"/>
      <c r="R59" s="108"/>
    </row>
    <row r="60" spans="2:18" s="1" customFormat="1" ht="15" x14ac:dyDescent="0.25">
      <c r="B60" s="315"/>
      <c r="C60" s="316"/>
      <c r="D60" s="316"/>
      <c r="E60" s="316"/>
      <c r="F60" s="317"/>
      <c r="G60" s="318"/>
      <c r="H60" s="319"/>
      <c r="I60" s="320"/>
      <c r="P60" s="70"/>
      <c r="Q60" s="70"/>
      <c r="R60" s="108"/>
    </row>
    <row r="61" spans="2:18" s="1" customFormat="1" ht="9" customHeight="1" x14ac:dyDescent="0.2">
      <c r="B61" s="68"/>
      <c r="C61" s="529"/>
      <c r="D61" s="317"/>
      <c r="E61" s="317"/>
      <c r="F61" s="317"/>
      <c r="G61" s="89"/>
      <c r="H61" s="90"/>
      <c r="I61" s="90"/>
      <c r="P61" s="70"/>
      <c r="Q61" s="70"/>
      <c r="R61" s="108"/>
    </row>
    <row r="62" spans="2:18" s="1" customFormat="1" x14ac:dyDescent="0.2">
      <c r="B62" s="91"/>
      <c r="C62" s="538"/>
      <c r="D62" s="92"/>
      <c r="E62" s="92"/>
      <c r="F62" s="321"/>
      <c r="G62" s="93"/>
      <c r="H62" s="94"/>
      <c r="I62" s="94"/>
      <c r="J62" s="141"/>
      <c r="R62" s="334"/>
    </row>
    <row r="63" spans="2:18" s="1" customFormat="1" ht="5.25" customHeight="1" x14ac:dyDescent="0.2">
      <c r="B63" s="95"/>
      <c r="C63" s="539"/>
      <c r="D63" s="96"/>
      <c r="E63" s="96"/>
      <c r="F63" s="97"/>
      <c r="G63" s="98"/>
      <c r="H63" s="99"/>
      <c r="I63" s="99"/>
      <c r="J63" s="143"/>
      <c r="K63" s="144"/>
      <c r="L63" s="144"/>
      <c r="M63" s="144"/>
      <c r="N63" s="144"/>
      <c r="O63" s="144"/>
      <c r="P63" s="144"/>
      <c r="Q63" s="144"/>
      <c r="R63" s="152"/>
    </row>
    <row r="64" spans="2:18" s="7" customFormat="1" ht="34.9" customHeight="1" x14ac:dyDescent="0.25">
      <c r="B64" s="322" t="s">
        <v>2360</v>
      </c>
      <c r="C64" s="550"/>
      <c r="D64" s="101"/>
      <c r="E64" s="101"/>
      <c r="F64" s="102"/>
      <c r="G64" s="103"/>
      <c r="H64" s="846" t="s">
        <v>2361</v>
      </c>
      <c r="I64" s="846"/>
      <c r="J64" s="852" t="s">
        <v>2362</v>
      </c>
      <c r="K64" s="852"/>
      <c r="L64" s="852"/>
      <c r="M64" s="852"/>
      <c r="O64" s="145"/>
      <c r="P64" s="846"/>
      <c r="Q64" s="846"/>
      <c r="R64" s="853"/>
    </row>
    <row r="65" spans="2:18" s="1" customFormat="1" x14ac:dyDescent="0.2">
      <c r="B65" s="68"/>
      <c r="C65" s="529"/>
      <c r="D65" s="72"/>
      <c r="E65" s="72"/>
      <c r="F65" s="81"/>
      <c r="G65" s="105"/>
      <c r="H65" s="90"/>
      <c r="I65" s="90"/>
      <c r="M65" s="90"/>
      <c r="R65" s="150"/>
    </row>
    <row r="66" spans="2:18" s="1" customFormat="1" ht="14.25" x14ac:dyDescent="0.2">
      <c r="B66" s="68"/>
      <c r="C66" s="529"/>
      <c r="D66" s="72"/>
      <c r="E66" s="72"/>
      <c r="F66" s="106"/>
      <c r="G66" s="107"/>
      <c r="H66" s="90"/>
      <c r="I66" s="90"/>
      <c r="M66" s="90"/>
      <c r="R66" s="150"/>
    </row>
    <row r="67" spans="2:18" s="1" customFormat="1" x14ac:dyDescent="0.2">
      <c r="B67" s="335"/>
      <c r="C67" s="818"/>
      <c r="D67" s="819"/>
      <c r="E67" s="819"/>
      <c r="F67" s="70"/>
      <c r="G67" s="110"/>
      <c r="H67" s="816" t="s">
        <v>4939</v>
      </c>
      <c r="I67" s="90"/>
      <c r="J67" s="809" t="s">
        <v>2365</v>
      </c>
      <c r="M67" s="90"/>
      <c r="N67" s="1" t="s">
        <v>4940</v>
      </c>
      <c r="P67" s="142"/>
      <c r="R67" s="151"/>
    </row>
    <row r="68" spans="2:18" s="8" customFormat="1" ht="15" x14ac:dyDescent="0.25">
      <c r="B68" s="336" t="s">
        <v>2367</v>
      </c>
      <c r="C68" s="551"/>
      <c r="D68" s="112"/>
      <c r="E68" s="112"/>
      <c r="F68" s="112"/>
      <c r="G68" s="112"/>
      <c r="H68" s="848" t="s">
        <v>2655</v>
      </c>
      <c r="I68" s="848"/>
      <c r="J68" s="848" t="s">
        <v>2369</v>
      </c>
      <c r="K68" s="848"/>
      <c r="L68" s="848"/>
      <c r="M68" s="848"/>
      <c r="N68" s="848" t="s">
        <v>4941</v>
      </c>
      <c r="O68" s="848"/>
      <c r="P68" s="848"/>
      <c r="Q68" s="848"/>
      <c r="R68" s="763"/>
    </row>
    <row r="69" spans="2:18" s="1" customFormat="1" ht="14.25" x14ac:dyDescent="0.2">
      <c r="B69" s="337" t="s">
        <v>2772</v>
      </c>
      <c r="C69" s="543"/>
      <c r="D69" s="338"/>
      <c r="E69" s="338"/>
      <c r="F69" s="115"/>
      <c r="G69" s="115"/>
      <c r="H69" s="841" t="s">
        <v>2371</v>
      </c>
      <c r="I69" s="841"/>
      <c r="J69" s="834" t="s">
        <v>2656</v>
      </c>
      <c r="K69" s="834"/>
      <c r="L69" s="834"/>
      <c r="M69" s="834"/>
      <c r="N69" s="834" t="s">
        <v>4936</v>
      </c>
      <c r="O69" s="834"/>
      <c r="P69" s="834"/>
      <c r="Q69" s="834"/>
      <c r="R69" s="817"/>
    </row>
    <row r="70" spans="2:18" s="1" customFormat="1" x14ac:dyDescent="0.2">
      <c r="B70" s="339" t="s">
        <v>4926</v>
      </c>
      <c r="C70" s="552"/>
      <c r="D70" s="92"/>
      <c r="E70" s="92"/>
      <c r="F70" s="117"/>
      <c r="G70" s="93"/>
      <c r="H70" s="94"/>
      <c r="I70" s="94"/>
      <c r="J70" s="141"/>
      <c r="K70" s="147"/>
      <c r="L70" s="147"/>
      <c r="M70" s="147"/>
      <c r="N70" s="147"/>
      <c r="O70" s="147"/>
      <c r="P70" s="147"/>
      <c r="Q70" s="147"/>
      <c r="R70" s="153"/>
    </row>
    <row r="72" spans="2:18" x14ac:dyDescent="0.2">
      <c r="H72" s="118"/>
    </row>
    <row r="74" spans="2:18" ht="15" x14ac:dyDescent="0.25">
      <c r="H74" s="119"/>
      <c r="I74" s="120"/>
    </row>
    <row r="78" spans="2:18" x14ac:dyDescent="0.2">
      <c r="F78" s="121"/>
    </row>
    <row r="81" spans="9:9" ht="15" x14ac:dyDescent="0.25">
      <c r="I81" s="120"/>
    </row>
    <row r="82" spans="9:9" ht="15" x14ac:dyDescent="0.25">
      <c r="I82" s="120"/>
    </row>
  </sheetData>
  <mergeCells count="11">
    <mergeCell ref="E41:H41"/>
    <mergeCell ref="G46:I46"/>
    <mergeCell ref="H64:I64"/>
    <mergeCell ref="J64:M64"/>
    <mergeCell ref="P64:R64"/>
    <mergeCell ref="H68:I68"/>
    <mergeCell ref="J68:M68"/>
    <mergeCell ref="H69:I69"/>
    <mergeCell ref="J69:M69"/>
    <mergeCell ref="N68:Q68"/>
    <mergeCell ref="N69:Q69"/>
  </mergeCells>
  <printOptions horizontalCentered="1" verticalCentered="1"/>
  <pageMargins left="0.31496062992125984" right="0.23622047244094491" top="0.27559055118110237" bottom="0.55118110236220474" header="0.23622047244094491" footer="0.35433070866141736"/>
  <pageSetup scale="55" orientation="landscape" r:id="rId1"/>
  <headerFooter alignWithMargins="0">
    <oddHeader xml:space="preserve">&amp;R
</oddHeader>
    <oddFooter xml:space="preserve">&amp;C&amp;"Arial,Negrita"Pág. &amp;P - 4
</oddFooter>
  </headerFooter>
  <rowBreaks count="3" manualBreakCount="3">
    <brk id="15" min="1" max="15" man="1"/>
    <brk id="25" min="1" max="15" man="1"/>
    <brk id="36" min="1" max="15" man="1"/>
  </rowBreaks>
  <ignoredErrors>
    <ignoredError sqref="P41 J41 L7:L41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53"/>
  </sheetPr>
  <dimension ref="A2:AV85"/>
  <sheetViews>
    <sheetView topLeftCell="A10" zoomScale="110" zoomScaleNormal="110" workbookViewId="0">
      <pane xSplit="4" topLeftCell="E1" activePane="topRight" state="frozenSplit"/>
      <selection pane="topRight" activeCell="R15" sqref="R15"/>
    </sheetView>
  </sheetViews>
  <sheetFormatPr baseColWidth="10" defaultColWidth="9.140625" defaultRowHeight="15" x14ac:dyDescent="0.25"/>
  <cols>
    <col min="1" max="1" width="1.28515625" customWidth="1"/>
    <col min="2" max="3" width="9.7109375" style="158" customWidth="1"/>
    <col min="4" max="4" width="8.28515625" style="158" customWidth="1"/>
    <col min="5" max="5" width="11.140625" style="158" customWidth="1"/>
    <col min="6" max="6" width="21.140625" customWidth="1"/>
    <col min="7" max="7" width="17.42578125" style="154" customWidth="1"/>
    <col min="8" max="8" width="30.42578125" style="158" customWidth="1"/>
    <col min="9" max="9" width="29.42578125" style="158" customWidth="1"/>
    <col min="10" max="10" width="17.5703125" customWidth="1"/>
    <col min="11" max="11" width="6.28515625" customWidth="1"/>
    <col min="12" max="12" width="15.85546875" customWidth="1"/>
    <col min="13" max="13" width="6.28515625" customWidth="1"/>
    <col min="14" max="14" width="9.28515625" customWidth="1"/>
    <col min="15" max="15" width="8" hidden="1" customWidth="1"/>
    <col min="16" max="16" width="13.7109375" hidden="1" customWidth="1"/>
    <col min="17" max="17" width="16" customWidth="1"/>
    <col min="18" max="18" width="15" customWidth="1"/>
  </cols>
  <sheetData>
    <row r="2" spans="2:21" s="148" customFormat="1" ht="25.15" customHeight="1" x14ac:dyDescent="0.3">
      <c r="B2" s="159"/>
      <c r="C2" s="159"/>
      <c r="D2" s="160"/>
      <c r="E2" s="12" t="s">
        <v>2657</v>
      </c>
      <c r="F2" s="161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</row>
    <row r="3" spans="2:21" s="148" customFormat="1" ht="22.15" customHeight="1" x14ac:dyDescent="0.3">
      <c r="B3" s="159"/>
      <c r="C3" s="159"/>
      <c r="D3" s="160"/>
      <c r="E3" s="14" t="s">
        <v>2773</v>
      </c>
      <c r="F3" s="163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</row>
    <row r="4" spans="2:21" s="148" customFormat="1" ht="22.15" customHeight="1" x14ac:dyDescent="0.25">
      <c r="B4" s="159"/>
      <c r="C4" s="159"/>
      <c r="D4" s="165"/>
      <c r="E4" s="18" t="s">
        <v>4919</v>
      </c>
      <c r="F4" s="163"/>
      <c r="G4" s="166"/>
      <c r="H4" s="166"/>
      <c r="I4" s="166"/>
      <c r="J4" s="18"/>
      <c r="K4" s="200"/>
      <c r="L4" s="200"/>
      <c r="M4" s="200"/>
      <c r="N4" s="200"/>
      <c r="O4" s="200"/>
      <c r="P4" s="200"/>
      <c r="Q4" s="200"/>
      <c r="R4" s="200"/>
    </row>
    <row r="5" spans="2:21" s="148" customFormat="1" ht="10.15" customHeight="1" x14ac:dyDescent="0.2">
      <c r="B5" s="159"/>
      <c r="C5" s="159"/>
      <c r="D5" s="167"/>
      <c r="E5" s="167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</row>
    <row r="6" spans="2:21" s="154" customFormat="1" ht="53.25" customHeight="1" x14ac:dyDescent="0.2">
      <c r="B6" s="533" t="s">
        <v>4344</v>
      </c>
      <c r="C6" s="533" t="s">
        <v>4345</v>
      </c>
      <c r="D6" s="23" t="s">
        <v>2376</v>
      </c>
      <c r="E6" s="23" t="s">
        <v>4</v>
      </c>
      <c r="F6" s="23" t="s">
        <v>5</v>
      </c>
      <c r="G6" s="23" t="s">
        <v>6</v>
      </c>
      <c r="H6" s="23" t="s">
        <v>2377</v>
      </c>
      <c r="I6" s="169" t="s">
        <v>8</v>
      </c>
      <c r="J6" s="23" t="s">
        <v>9</v>
      </c>
      <c r="K6" s="23" t="s">
        <v>10</v>
      </c>
      <c r="L6" s="30" t="s">
        <v>2379</v>
      </c>
      <c r="M6" s="23" t="s">
        <v>12</v>
      </c>
      <c r="N6" s="31" t="s">
        <v>2380</v>
      </c>
      <c r="O6" s="30" t="s">
        <v>14</v>
      </c>
      <c r="P6" s="23" t="s">
        <v>15</v>
      </c>
      <c r="Q6" s="23" t="s">
        <v>15</v>
      </c>
      <c r="R6" s="23" t="s">
        <v>16</v>
      </c>
      <c r="U6" s="154" t="s">
        <v>4401</v>
      </c>
    </row>
    <row r="7" spans="2:21" s="148" customFormat="1" ht="40.15" customHeight="1" x14ac:dyDescent="0.2">
      <c r="B7" s="170">
        <v>37169</v>
      </c>
      <c r="C7" s="170" t="s">
        <v>2351</v>
      </c>
      <c r="D7" s="171">
        <v>34</v>
      </c>
      <c r="E7" s="172" t="s">
        <v>2774</v>
      </c>
      <c r="F7" s="173" t="s">
        <v>2775</v>
      </c>
      <c r="G7" s="171" t="s">
        <v>2776</v>
      </c>
      <c r="H7" s="171" t="s">
        <v>765</v>
      </c>
      <c r="I7" s="171" t="s">
        <v>19</v>
      </c>
      <c r="J7" s="201">
        <v>7735</v>
      </c>
      <c r="K7" s="202">
        <v>16.96</v>
      </c>
      <c r="L7" s="203">
        <f t="shared" ref="L7:L17" si="0">+J7/K7</f>
        <v>456.07311320754712</v>
      </c>
      <c r="M7" s="171">
        <v>60</v>
      </c>
      <c r="N7" s="204">
        <f t="shared" ref="N7:N17" si="1">IF(AND(J7&lt;&gt;0,M7&lt;&gt;0),J7/M7,0)</f>
        <v>128.91666666666666</v>
      </c>
      <c r="O7" s="205">
        <f t="shared" ref="O7:O17" ca="1" si="2">IF(B7&lt;&gt;0,(ROUND((NOW()-B7)/30,0)),0)</f>
        <v>271</v>
      </c>
      <c r="P7" s="206">
        <f ca="1">IF(OR(J7=0,M7=0,O7=0),0,J7-(N7*O7))</f>
        <v>-27201.416666666664</v>
      </c>
      <c r="Q7" s="207">
        <f ca="1">IF(P7&lt;1,1,P7)</f>
        <v>1</v>
      </c>
      <c r="R7" s="171" t="s">
        <v>2351</v>
      </c>
    </row>
    <row r="8" spans="2:21" s="148" customFormat="1" ht="40.15" customHeight="1" x14ac:dyDescent="0.2">
      <c r="B8" s="170">
        <v>37146</v>
      </c>
      <c r="C8" s="170" t="s">
        <v>2351</v>
      </c>
      <c r="D8" s="171">
        <v>44</v>
      </c>
      <c r="E8" s="172" t="s">
        <v>2777</v>
      </c>
      <c r="F8" s="173" t="s">
        <v>2778</v>
      </c>
      <c r="G8" s="171" t="s">
        <v>28</v>
      </c>
      <c r="H8" s="171" t="s">
        <v>1156</v>
      </c>
      <c r="I8" s="171" t="s">
        <v>19</v>
      </c>
      <c r="J8" s="201">
        <v>5400</v>
      </c>
      <c r="K8" s="202">
        <v>16.96</v>
      </c>
      <c r="L8" s="203">
        <f t="shared" si="0"/>
        <v>318.3962264150943</v>
      </c>
      <c r="M8" s="171">
        <v>60</v>
      </c>
      <c r="N8" s="204">
        <f t="shared" si="1"/>
        <v>90</v>
      </c>
      <c r="O8" s="205">
        <f t="shared" ca="1" si="2"/>
        <v>272</v>
      </c>
      <c r="P8" s="206">
        <f t="shared" ref="P8:P25" ca="1" si="3">IF(OR(J8=0,M8=0,O8=0),0,J8-(N8*O8))</f>
        <v>-19080</v>
      </c>
      <c r="Q8" s="207">
        <f t="shared" ref="Q8:Q38" ca="1" si="4">IF(P8&lt;1,1,P8)</f>
        <v>1</v>
      </c>
      <c r="R8" s="171" t="s">
        <v>2351</v>
      </c>
    </row>
    <row r="9" spans="2:21" s="148" customFormat="1" ht="40.15" customHeight="1" x14ac:dyDescent="0.2">
      <c r="B9" s="170">
        <v>37396</v>
      </c>
      <c r="C9" s="170" t="s">
        <v>2351</v>
      </c>
      <c r="D9" s="171">
        <v>185</v>
      </c>
      <c r="E9" s="172" t="s">
        <v>2779</v>
      </c>
      <c r="F9" s="173" t="s">
        <v>2780</v>
      </c>
      <c r="G9" s="171" t="s">
        <v>28</v>
      </c>
      <c r="H9" s="171" t="s">
        <v>844</v>
      </c>
      <c r="I9" s="171" t="s">
        <v>19</v>
      </c>
      <c r="J9" s="201">
        <v>1175.72</v>
      </c>
      <c r="K9" s="202">
        <v>20.71</v>
      </c>
      <c r="L9" s="203">
        <f t="shared" si="0"/>
        <v>56.77064220183486</v>
      </c>
      <c r="M9" s="171">
        <v>60</v>
      </c>
      <c r="N9" s="204">
        <f t="shared" si="1"/>
        <v>19.595333333333333</v>
      </c>
      <c r="O9" s="205">
        <f t="shared" ca="1" si="2"/>
        <v>264</v>
      </c>
      <c r="P9" s="206">
        <f t="shared" ca="1" si="3"/>
        <v>-3997.4479999999994</v>
      </c>
      <c r="Q9" s="207">
        <f t="shared" ca="1" si="4"/>
        <v>1</v>
      </c>
      <c r="R9" s="171" t="s">
        <v>2351</v>
      </c>
    </row>
    <row r="10" spans="2:21" s="148" customFormat="1" ht="51" customHeight="1" x14ac:dyDescent="0.2">
      <c r="B10" s="170">
        <v>37481</v>
      </c>
      <c r="C10" s="170" t="s">
        <v>2351</v>
      </c>
      <c r="D10" s="171">
        <v>294</v>
      </c>
      <c r="E10" s="172" t="s">
        <v>2782</v>
      </c>
      <c r="F10" s="173" t="s">
        <v>2783</v>
      </c>
      <c r="G10" s="171" t="s">
        <v>2784</v>
      </c>
      <c r="H10" s="171" t="s">
        <v>77</v>
      </c>
      <c r="I10" s="171" t="s">
        <v>19</v>
      </c>
      <c r="J10" s="201">
        <v>66323.679999999993</v>
      </c>
      <c r="K10" s="202">
        <v>20.71</v>
      </c>
      <c r="L10" s="203">
        <f t="shared" si="0"/>
        <v>3202.4954128440363</v>
      </c>
      <c r="M10" s="171">
        <v>60</v>
      </c>
      <c r="N10" s="204">
        <f t="shared" si="1"/>
        <v>1105.3946666666666</v>
      </c>
      <c r="O10" s="205">
        <f t="shared" ca="1" si="2"/>
        <v>261</v>
      </c>
      <c r="P10" s="206">
        <f t="shared" ca="1" si="3"/>
        <v>-222184.32799999998</v>
      </c>
      <c r="Q10" s="207">
        <f t="shared" ca="1" si="4"/>
        <v>1</v>
      </c>
      <c r="R10" s="171" t="s">
        <v>2351</v>
      </c>
    </row>
    <row r="11" spans="2:21" s="148" customFormat="1" ht="40.15" customHeight="1" x14ac:dyDescent="0.2">
      <c r="B11" s="174">
        <v>37489</v>
      </c>
      <c r="C11" s="170" t="s">
        <v>2351</v>
      </c>
      <c r="D11" s="175">
        <v>295</v>
      </c>
      <c r="E11" s="176" t="s">
        <v>2785</v>
      </c>
      <c r="F11" s="177" t="s">
        <v>2786</v>
      </c>
      <c r="G11" s="175" t="s">
        <v>28</v>
      </c>
      <c r="H11" s="175" t="s">
        <v>765</v>
      </c>
      <c r="I11" s="175" t="s">
        <v>19</v>
      </c>
      <c r="J11" s="208">
        <v>6666.66</v>
      </c>
      <c r="K11" s="209">
        <v>20.71</v>
      </c>
      <c r="L11" s="210">
        <f t="shared" si="0"/>
        <v>321.90535972959918</v>
      </c>
      <c r="M11" s="175">
        <v>60</v>
      </c>
      <c r="N11" s="211">
        <f t="shared" si="1"/>
        <v>111.111</v>
      </c>
      <c r="O11" s="212">
        <f t="shared" ca="1" si="2"/>
        <v>260</v>
      </c>
      <c r="P11" s="206">
        <f t="shared" ca="1" si="3"/>
        <v>-22222.2</v>
      </c>
      <c r="Q11" s="207">
        <f t="shared" ca="1" si="4"/>
        <v>1</v>
      </c>
      <c r="R11" s="175" t="s">
        <v>2351</v>
      </c>
    </row>
    <row r="12" spans="2:21" s="148" customFormat="1" ht="40.15" customHeight="1" x14ac:dyDescent="0.2">
      <c r="B12" s="170">
        <v>37489</v>
      </c>
      <c r="C12" s="170" t="s">
        <v>2351</v>
      </c>
      <c r="D12" s="171">
        <v>295</v>
      </c>
      <c r="E12" s="172" t="s">
        <v>2787</v>
      </c>
      <c r="F12" s="173" t="s">
        <v>2786</v>
      </c>
      <c r="G12" s="171" t="s">
        <v>28</v>
      </c>
      <c r="H12" s="171" t="s">
        <v>34</v>
      </c>
      <c r="I12" s="171" t="s">
        <v>19</v>
      </c>
      <c r="J12" s="201">
        <v>6666.66</v>
      </c>
      <c r="K12" s="202">
        <v>20.71</v>
      </c>
      <c r="L12" s="203">
        <f t="shared" si="0"/>
        <v>321.90535972959918</v>
      </c>
      <c r="M12" s="171">
        <v>60</v>
      </c>
      <c r="N12" s="204">
        <f t="shared" si="1"/>
        <v>111.111</v>
      </c>
      <c r="O12" s="205">
        <f t="shared" ca="1" si="2"/>
        <v>260</v>
      </c>
      <c r="P12" s="206">
        <f t="shared" ca="1" si="3"/>
        <v>-22222.2</v>
      </c>
      <c r="Q12" s="207">
        <f t="shared" ca="1" si="4"/>
        <v>1</v>
      </c>
      <c r="R12" s="171" t="s">
        <v>2351</v>
      </c>
    </row>
    <row r="13" spans="2:21" s="148" customFormat="1" ht="40.15" customHeight="1" x14ac:dyDescent="0.2">
      <c r="B13" s="170">
        <v>37489</v>
      </c>
      <c r="C13" s="170" t="s">
        <v>2351</v>
      </c>
      <c r="D13" s="171">
        <v>295</v>
      </c>
      <c r="E13" s="172" t="s">
        <v>2788</v>
      </c>
      <c r="F13" s="173" t="s">
        <v>2789</v>
      </c>
      <c r="G13" s="171" t="s">
        <v>28</v>
      </c>
      <c r="H13" s="171" t="s">
        <v>34</v>
      </c>
      <c r="I13" s="171" t="s">
        <v>19</v>
      </c>
      <c r="J13" s="201">
        <v>6666.66</v>
      </c>
      <c r="K13" s="202">
        <v>20.71</v>
      </c>
      <c r="L13" s="203">
        <f t="shared" si="0"/>
        <v>321.90535972959918</v>
      </c>
      <c r="M13" s="171">
        <v>60</v>
      </c>
      <c r="N13" s="204">
        <f t="shared" si="1"/>
        <v>111.111</v>
      </c>
      <c r="O13" s="205">
        <f t="shared" ca="1" si="2"/>
        <v>260</v>
      </c>
      <c r="P13" s="206">
        <f t="shared" ca="1" si="3"/>
        <v>-22222.2</v>
      </c>
      <c r="Q13" s="207">
        <f t="shared" ca="1" si="4"/>
        <v>1</v>
      </c>
      <c r="R13" s="171" t="s">
        <v>2351</v>
      </c>
    </row>
    <row r="14" spans="2:21" s="148" customFormat="1" ht="40.15" customHeight="1" x14ac:dyDescent="0.2">
      <c r="B14" s="170">
        <v>37489</v>
      </c>
      <c r="C14" s="170" t="s">
        <v>2351</v>
      </c>
      <c r="D14" s="171">
        <v>295</v>
      </c>
      <c r="E14" s="172" t="s">
        <v>2790</v>
      </c>
      <c r="F14" s="173" t="s">
        <v>2791</v>
      </c>
      <c r="G14" s="171" t="s">
        <v>28</v>
      </c>
      <c r="H14" s="171" t="s">
        <v>765</v>
      </c>
      <c r="I14" s="171" t="s">
        <v>19</v>
      </c>
      <c r="J14" s="201">
        <v>2500</v>
      </c>
      <c r="K14" s="202">
        <v>20.71</v>
      </c>
      <c r="L14" s="203">
        <f t="shared" si="0"/>
        <v>120.71463061323031</v>
      </c>
      <c r="M14" s="171">
        <v>60</v>
      </c>
      <c r="N14" s="204">
        <f t="shared" si="1"/>
        <v>41.666666666666664</v>
      </c>
      <c r="O14" s="205">
        <f t="shared" ca="1" si="2"/>
        <v>260</v>
      </c>
      <c r="P14" s="206">
        <f t="shared" ca="1" si="3"/>
        <v>-8333.3333333333321</v>
      </c>
      <c r="Q14" s="207">
        <f t="shared" ca="1" si="4"/>
        <v>1</v>
      </c>
      <c r="R14" s="171" t="s">
        <v>2351</v>
      </c>
    </row>
    <row r="15" spans="2:21" s="148" customFormat="1" ht="40.15" customHeight="1" x14ac:dyDescent="0.2">
      <c r="B15" s="170">
        <v>37565</v>
      </c>
      <c r="C15" s="170" t="s">
        <v>2351</v>
      </c>
      <c r="D15" s="171">
        <v>378</v>
      </c>
      <c r="E15" s="172" t="s">
        <v>2792</v>
      </c>
      <c r="F15" s="173" t="s">
        <v>2793</v>
      </c>
      <c r="G15" s="171" t="s">
        <v>2794</v>
      </c>
      <c r="H15" s="171" t="s">
        <v>2795</v>
      </c>
      <c r="I15" s="171" t="s">
        <v>19</v>
      </c>
      <c r="J15" s="201">
        <v>1963.39</v>
      </c>
      <c r="K15" s="202">
        <v>20.71</v>
      </c>
      <c r="L15" s="203">
        <f t="shared" si="0"/>
        <v>94.80395943988411</v>
      </c>
      <c r="M15" s="171">
        <v>60</v>
      </c>
      <c r="N15" s="204">
        <f t="shared" si="1"/>
        <v>32.723166666666671</v>
      </c>
      <c r="O15" s="205">
        <f t="shared" ca="1" si="2"/>
        <v>258</v>
      </c>
      <c r="P15" s="206">
        <f t="shared" ca="1" si="3"/>
        <v>-6479.1870000000008</v>
      </c>
      <c r="Q15" s="207">
        <f t="shared" ca="1" si="4"/>
        <v>1</v>
      </c>
      <c r="R15" s="171" t="s">
        <v>2351</v>
      </c>
    </row>
    <row r="16" spans="2:21" s="148" customFormat="1" ht="40.15" customHeight="1" x14ac:dyDescent="0.2">
      <c r="B16" s="170">
        <v>37599</v>
      </c>
      <c r="C16" s="170" t="s">
        <v>2351</v>
      </c>
      <c r="D16" s="171">
        <v>413</v>
      </c>
      <c r="E16" s="172" t="s">
        <v>2796</v>
      </c>
      <c r="F16" s="177" t="s">
        <v>2797</v>
      </c>
      <c r="G16" s="171" t="s">
        <v>28</v>
      </c>
      <c r="H16" s="171" t="s">
        <v>765</v>
      </c>
      <c r="I16" s="171" t="s">
        <v>19</v>
      </c>
      <c r="J16" s="201">
        <v>21000</v>
      </c>
      <c r="K16" s="202">
        <v>20.71</v>
      </c>
      <c r="L16" s="203">
        <f t="shared" si="0"/>
        <v>1014.0028971511347</v>
      </c>
      <c r="M16" s="171">
        <v>60</v>
      </c>
      <c r="N16" s="204">
        <f t="shared" si="1"/>
        <v>350</v>
      </c>
      <c r="O16" s="205">
        <f t="shared" ca="1" si="2"/>
        <v>257</v>
      </c>
      <c r="P16" s="206">
        <f t="shared" ca="1" si="3"/>
        <v>-68950</v>
      </c>
      <c r="Q16" s="207">
        <f t="shared" ca="1" si="4"/>
        <v>1</v>
      </c>
      <c r="R16" s="171" t="s">
        <v>2351</v>
      </c>
    </row>
    <row r="17" spans="1:18" s="148" customFormat="1" ht="40.15" customHeight="1" x14ac:dyDescent="0.2">
      <c r="B17" s="170">
        <v>37601</v>
      </c>
      <c r="C17" s="170" t="s">
        <v>2351</v>
      </c>
      <c r="D17" s="171">
        <v>439</v>
      </c>
      <c r="E17" s="172" t="s">
        <v>2798</v>
      </c>
      <c r="F17" s="177" t="s">
        <v>2799</v>
      </c>
      <c r="G17" s="171" t="s">
        <v>28</v>
      </c>
      <c r="H17" s="171" t="s">
        <v>2781</v>
      </c>
      <c r="I17" s="171" t="s">
        <v>19</v>
      </c>
      <c r="J17" s="201">
        <v>2184</v>
      </c>
      <c r="K17" s="202">
        <v>20.71</v>
      </c>
      <c r="L17" s="203">
        <f t="shared" si="0"/>
        <v>105.45630130371801</v>
      </c>
      <c r="M17" s="171">
        <v>60</v>
      </c>
      <c r="N17" s="204">
        <f t="shared" si="1"/>
        <v>36.4</v>
      </c>
      <c r="O17" s="205">
        <f t="shared" ca="1" si="2"/>
        <v>257</v>
      </c>
      <c r="P17" s="206">
        <f t="shared" ca="1" si="3"/>
        <v>-7170.7999999999993</v>
      </c>
      <c r="Q17" s="207">
        <f t="shared" ca="1" si="4"/>
        <v>1</v>
      </c>
      <c r="R17" s="171" t="s">
        <v>2351</v>
      </c>
    </row>
    <row r="18" spans="1:18" s="148" customFormat="1" ht="51.75" customHeight="1" x14ac:dyDescent="0.2">
      <c r="B18" s="174">
        <v>38495</v>
      </c>
      <c r="C18" s="174" t="s">
        <v>2351</v>
      </c>
      <c r="D18" s="175">
        <v>1787577</v>
      </c>
      <c r="E18" s="176" t="s">
        <v>2800</v>
      </c>
      <c r="F18" s="177" t="s">
        <v>2801</v>
      </c>
      <c r="G18" s="175" t="s">
        <v>2802</v>
      </c>
      <c r="H18" s="175" t="s">
        <v>2803</v>
      </c>
      <c r="I18" s="175" t="s">
        <v>2804</v>
      </c>
      <c r="J18" s="208">
        <v>666072</v>
      </c>
      <c r="K18" s="209">
        <v>34.380000000000003</v>
      </c>
      <c r="L18" s="210">
        <f t="shared" ref="L18:L25" si="5">+J18/K18</f>
        <v>19373.821989528795</v>
      </c>
      <c r="M18" s="175">
        <v>60</v>
      </c>
      <c r="N18" s="211">
        <f t="shared" ref="N18:N22" si="6">IF(AND(J18&lt;&gt;0,M18&lt;&gt;0),J18/M18,0)</f>
        <v>11101.2</v>
      </c>
      <c r="O18" s="213">
        <f t="shared" ref="O18:O22" ca="1" si="7">IF(B18&lt;&gt;0,(ROUND((NOW()-B18)/30,0)),0)</f>
        <v>227</v>
      </c>
      <c r="P18" s="206">
        <f t="shared" ca="1" si="3"/>
        <v>-1853900.4000000004</v>
      </c>
      <c r="Q18" s="207">
        <f t="shared" ca="1" si="4"/>
        <v>1</v>
      </c>
      <c r="R18" s="179" t="s">
        <v>2805</v>
      </c>
    </row>
    <row r="19" spans="1:18" s="148" customFormat="1" ht="50.25" customHeight="1" x14ac:dyDescent="0.2">
      <c r="B19" s="174">
        <v>38495</v>
      </c>
      <c r="C19" s="174" t="s">
        <v>2351</v>
      </c>
      <c r="D19" s="175">
        <v>1787577</v>
      </c>
      <c r="E19" s="176" t="s">
        <v>2806</v>
      </c>
      <c r="F19" s="177" t="s">
        <v>2807</v>
      </c>
      <c r="G19" s="175" t="s">
        <v>2808</v>
      </c>
      <c r="H19" s="175" t="s">
        <v>40</v>
      </c>
      <c r="I19" s="175" t="s">
        <v>2809</v>
      </c>
      <c r="J19" s="208">
        <v>666072</v>
      </c>
      <c r="K19" s="209">
        <v>34.380000000000003</v>
      </c>
      <c r="L19" s="210">
        <f t="shared" si="5"/>
        <v>19373.821989528795</v>
      </c>
      <c r="M19" s="175">
        <v>60</v>
      </c>
      <c r="N19" s="211">
        <f t="shared" si="6"/>
        <v>11101.2</v>
      </c>
      <c r="O19" s="213">
        <f t="shared" ca="1" si="7"/>
        <v>227</v>
      </c>
      <c r="P19" s="206">
        <f t="shared" ca="1" si="3"/>
        <v>-1853900.4000000004</v>
      </c>
      <c r="Q19" s="207">
        <f t="shared" ca="1" si="4"/>
        <v>1</v>
      </c>
      <c r="R19" s="179" t="s">
        <v>2805</v>
      </c>
    </row>
    <row r="20" spans="1:18" s="148" customFormat="1" ht="47.25" customHeight="1" x14ac:dyDescent="0.2">
      <c r="A20" s="155"/>
      <c r="B20" s="174">
        <v>38603</v>
      </c>
      <c r="C20" s="174" t="s">
        <v>2351</v>
      </c>
      <c r="D20" s="175">
        <v>3094464</v>
      </c>
      <c r="E20" s="176" t="s">
        <v>2810</v>
      </c>
      <c r="F20" s="177" t="s">
        <v>2811</v>
      </c>
      <c r="G20" s="175" t="s">
        <v>2812</v>
      </c>
      <c r="H20" s="175" t="s">
        <v>2813</v>
      </c>
      <c r="I20" s="175" t="s">
        <v>2804</v>
      </c>
      <c r="J20" s="208">
        <v>840910</v>
      </c>
      <c r="K20" s="209">
        <v>34.380000000000003</v>
      </c>
      <c r="L20" s="210">
        <f t="shared" si="5"/>
        <v>24459.278650378124</v>
      </c>
      <c r="M20" s="175">
        <v>60</v>
      </c>
      <c r="N20" s="211">
        <f t="shared" si="6"/>
        <v>14015.166666666666</v>
      </c>
      <c r="O20" s="213">
        <f t="shared" ca="1" si="7"/>
        <v>223</v>
      </c>
      <c r="P20" s="206">
        <f t="shared" ca="1" si="3"/>
        <v>-2284472.1666666665</v>
      </c>
      <c r="Q20" s="207">
        <f t="shared" ca="1" si="4"/>
        <v>1</v>
      </c>
      <c r="R20" s="179" t="s">
        <v>2814</v>
      </c>
    </row>
    <row r="21" spans="1:18" s="148" customFormat="1" ht="40.15" customHeight="1" x14ac:dyDescent="0.2">
      <c r="A21" s="155"/>
      <c r="B21" s="174">
        <v>39035</v>
      </c>
      <c r="C21" s="174" t="s">
        <v>2351</v>
      </c>
      <c r="D21" s="175">
        <v>2251885</v>
      </c>
      <c r="E21" s="176" t="s">
        <v>2815</v>
      </c>
      <c r="F21" s="177" t="s">
        <v>2816</v>
      </c>
      <c r="G21" s="175" t="s">
        <v>2817</v>
      </c>
      <c r="H21" s="175" t="s">
        <v>40</v>
      </c>
      <c r="I21" s="175" t="s">
        <v>19</v>
      </c>
      <c r="J21" s="208">
        <v>1238989.55</v>
      </c>
      <c r="K21" s="209">
        <v>33.479999999999997</v>
      </c>
      <c r="L21" s="210">
        <f t="shared" si="5"/>
        <v>37006.856332138595</v>
      </c>
      <c r="M21" s="175">
        <v>60</v>
      </c>
      <c r="N21" s="211">
        <f t="shared" si="6"/>
        <v>20649.825833333332</v>
      </c>
      <c r="O21" s="213">
        <f t="shared" ca="1" si="7"/>
        <v>209</v>
      </c>
      <c r="P21" s="206">
        <f t="shared" ca="1" si="3"/>
        <v>-3076824.0491666663</v>
      </c>
      <c r="Q21" s="207">
        <f t="shared" ca="1" si="4"/>
        <v>1</v>
      </c>
      <c r="R21" s="179" t="s">
        <v>2818</v>
      </c>
    </row>
    <row r="22" spans="1:18" s="148" customFormat="1" ht="40.15" customHeight="1" x14ac:dyDescent="0.2">
      <c r="B22" s="170">
        <v>40066</v>
      </c>
      <c r="C22" s="170" t="s">
        <v>2351</v>
      </c>
      <c r="D22" s="171">
        <v>1504</v>
      </c>
      <c r="E22" s="172" t="s">
        <v>2819</v>
      </c>
      <c r="F22" s="177" t="s">
        <v>2820</v>
      </c>
      <c r="G22" s="171" t="s">
        <v>2821</v>
      </c>
      <c r="H22" s="171" t="s">
        <v>765</v>
      </c>
      <c r="I22" s="171" t="s">
        <v>19</v>
      </c>
      <c r="J22" s="201">
        <v>7194</v>
      </c>
      <c r="K22" s="202">
        <v>36.130000000000003</v>
      </c>
      <c r="L22" s="203">
        <f t="shared" si="5"/>
        <v>199.11430943814003</v>
      </c>
      <c r="M22" s="171">
        <v>60</v>
      </c>
      <c r="N22" s="204">
        <f t="shared" si="6"/>
        <v>119.9</v>
      </c>
      <c r="O22" s="205">
        <f t="shared" ca="1" si="7"/>
        <v>175</v>
      </c>
      <c r="P22" s="206">
        <f t="shared" ca="1" si="3"/>
        <v>-13788.5</v>
      </c>
      <c r="Q22" s="207">
        <f t="shared" ca="1" si="4"/>
        <v>1</v>
      </c>
      <c r="R22" s="178" t="s">
        <v>2822</v>
      </c>
    </row>
    <row r="23" spans="1:18" s="148" customFormat="1" ht="40.15" customHeight="1" x14ac:dyDescent="0.2">
      <c r="B23" s="170">
        <v>41145</v>
      </c>
      <c r="C23" s="170" t="s">
        <v>2351</v>
      </c>
      <c r="D23" s="171">
        <v>3644</v>
      </c>
      <c r="E23" s="172" t="s">
        <v>2823</v>
      </c>
      <c r="F23" s="173" t="s">
        <v>2824</v>
      </c>
      <c r="G23" s="171" t="s">
        <v>28</v>
      </c>
      <c r="H23" s="171" t="s">
        <v>2825</v>
      </c>
      <c r="I23" s="171" t="s">
        <v>19</v>
      </c>
      <c r="J23" s="201">
        <f>2586.21+413.79</f>
        <v>3000</v>
      </c>
      <c r="K23" s="202">
        <v>39.11</v>
      </c>
      <c r="L23" s="203">
        <f t="shared" si="5"/>
        <v>76.706724622858601</v>
      </c>
      <c r="M23" s="171">
        <v>60</v>
      </c>
      <c r="N23" s="204">
        <f t="shared" ref="N23:N25" si="8">IF(AND(J23&lt;&gt;0,M23&lt;&gt;0),J23/M23,0)</f>
        <v>50</v>
      </c>
      <c r="O23" s="205">
        <f t="shared" ref="O23:O25" ca="1" si="9">IF(B23&lt;&gt;0,(ROUND((NOW()-B23)/30,0)),0)</f>
        <v>139</v>
      </c>
      <c r="P23" s="206">
        <f t="shared" ca="1" si="3"/>
        <v>-3950</v>
      </c>
      <c r="Q23" s="207">
        <f t="shared" ca="1" si="4"/>
        <v>1</v>
      </c>
      <c r="R23" s="178" t="s">
        <v>2826</v>
      </c>
    </row>
    <row r="24" spans="1:18" s="148" customFormat="1" ht="40.15" customHeight="1" x14ac:dyDescent="0.2">
      <c r="B24" s="170">
        <v>41331</v>
      </c>
      <c r="C24" s="170" t="s">
        <v>2351</v>
      </c>
      <c r="D24" s="171">
        <v>3722</v>
      </c>
      <c r="E24" s="172" t="s">
        <v>2827</v>
      </c>
      <c r="F24" s="173" t="s">
        <v>2828</v>
      </c>
      <c r="G24" s="171" t="s">
        <v>2829</v>
      </c>
      <c r="H24" s="171" t="s">
        <v>2830</v>
      </c>
      <c r="I24" s="171" t="s">
        <v>19</v>
      </c>
      <c r="J24" s="208">
        <v>8771.65</v>
      </c>
      <c r="K24" s="202">
        <v>40.869999999999997</v>
      </c>
      <c r="L24" s="203">
        <f t="shared" si="5"/>
        <v>214.62319549792025</v>
      </c>
      <c r="M24" s="171">
        <v>60</v>
      </c>
      <c r="N24" s="204">
        <f t="shared" si="8"/>
        <v>146.19416666666666</v>
      </c>
      <c r="O24" s="205">
        <f t="shared" ca="1" si="9"/>
        <v>132</v>
      </c>
      <c r="P24" s="206">
        <f t="shared" ca="1" si="3"/>
        <v>-10525.979999999998</v>
      </c>
      <c r="Q24" s="207">
        <f t="shared" ca="1" si="4"/>
        <v>1</v>
      </c>
      <c r="R24" s="178" t="s">
        <v>2831</v>
      </c>
    </row>
    <row r="25" spans="1:18" s="148" customFormat="1" ht="36" customHeight="1" x14ac:dyDescent="0.2">
      <c r="B25" s="170">
        <v>42041</v>
      </c>
      <c r="C25" s="170" t="s">
        <v>2351</v>
      </c>
      <c r="D25" s="173" t="s">
        <v>2832</v>
      </c>
      <c r="E25" s="172" t="s">
        <v>2833</v>
      </c>
      <c r="F25" s="173" t="s">
        <v>1169</v>
      </c>
      <c r="G25" s="171" t="s">
        <v>2834</v>
      </c>
      <c r="H25" s="171" t="s">
        <v>765</v>
      </c>
      <c r="I25" s="171" t="s">
        <v>19</v>
      </c>
      <c r="J25" s="214">
        <v>24097.360000000001</v>
      </c>
      <c r="K25" s="202">
        <v>44.782699999999998</v>
      </c>
      <c r="L25" s="215">
        <f t="shared" si="5"/>
        <v>538.09529126202756</v>
      </c>
      <c r="M25" s="171">
        <v>120</v>
      </c>
      <c r="N25" s="204">
        <f t="shared" si="8"/>
        <v>200.81133333333335</v>
      </c>
      <c r="O25" s="205">
        <f t="shared" ca="1" si="9"/>
        <v>109</v>
      </c>
      <c r="P25" s="206">
        <f t="shared" ca="1" si="3"/>
        <v>2208.9246666666659</v>
      </c>
      <c r="Q25" s="207">
        <f t="shared" ca="1" si="4"/>
        <v>2208.9246666666659</v>
      </c>
      <c r="R25" s="178" t="s">
        <v>1171</v>
      </c>
    </row>
    <row r="26" spans="1:18" s="155" customFormat="1" ht="36" customHeight="1" x14ac:dyDescent="0.2">
      <c r="B26" s="174">
        <v>42772</v>
      </c>
      <c r="C26" s="170" t="s">
        <v>2351</v>
      </c>
      <c r="D26" s="179" t="s">
        <v>2835</v>
      </c>
      <c r="E26" s="176" t="s">
        <v>2837</v>
      </c>
      <c r="F26" s="177" t="s">
        <v>2838</v>
      </c>
      <c r="G26" s="175" t="s">
        <v>28</v>
      </c>
      <c r="H26" s="175" t="s">
        <v>743</v>
      </c>
      <c r="I26" s="175" t="s">
        <v>19</v>
      </c>
      <c r="J26" s="216">
        <v>9414.6299999999992</v>
      </c>
      <c r="K26" s="209">
        <v>46.9</v>
      </c>
      <c r="L26" s="217">
        <f t="shared" ref="L26:L38" si="10">+J26/K26</f>
        <v>200.73837953091683</v>
      </c>
      <c r="M26" s="175">
        <v>120</v>
      </c>
      <c r="N26" s="211">
        <f t="shared" ref="N26:N36" si="11">IF(AND(J26&lt;&gt;0,M26&lt;&gt;0),J26/M26,0)</f>
        <v>78.455249999999992</v>
      </c>
      <c r="O26" s="212">
        <f t="shared" ref="O26:O38" ca="1" si="12">IF(B26&lt;&gt;0,(ROUND((NOW()-B26)/30,0)),0)</f>
        <v>84</v>
      </c>
      <c r="P26" s="218">
        <f t="shared" ref="P26:P36" ca="1" si="13">IF(OR(J26=0,M26=0,O26=0),0,J26-(N26*O26))</f>
        <v>2824.3890000000001</v>
      </c>
      <c r="Q26" s="207">
        <f t="shared" ca="1" si="4"/>
        <v>2824.3890000000001</v>
      </c>
      <c r="R26" s="179" t="s">
        <v>2836</v>
      </c>
    </row>
    <row r="27" spans="1:18" s="148" customFormat="1" ht="36" customHeight="1" x14ac:dyDescent="0.2">
      <c r="B27" s="170">
        <v>42772</v>
      </c>
      <c r="C27" s="170" t="s">
        <v>2351</v>
      </c>
      <c r="D27" s="178" t="s">
        <v>2835</v>
      </c>
      <c r="E27" s="172" t="s">
        <v>2839</v>
      </c>
      <c r="F27" s="173" t="s">
        <v>2840</v>
      </c>
      <c r="G27" s="171" t="s">
        <v>28</v>
      </c>
      <c r="H27" s="171" t="s">
        <v>743</v>
      </c>
      <c r="I27" s="171" t="s">
        <v>19</v>
      </c>
      <c r="J27" s="214">
        <f t="shared" ref="J27:J32" si="14">(11100+9000+2700+1200)/6</f>
        <v>4000</v>
      </c>
      <c r="K27" s="202">
        <v>46.9</v>
      </c>
      <c r="L27" s="215">
        <f t="shared" si="10"/>
        <v>85.287846481876329</v>
      </c>
      <c r="M27" s="171">
        <v>60</v>
      </c>
      <c r="N27" s="204">
        <f t="shared" si="11"/>
        <v>66.666666666666671</v>
      </c>
      <c r="O27" s="205">
        <f t="shared" ca="1" si="12"/>
        <v>84</v>
      </c>
      <c r="P27" s="206">
        <f t="shared" ca="1" si="13"/>
        <v>-1600</v>
      </c>
      <c r="Q27" s="207">
        <f t="shared" ca="1" si="4"/>
        <v>1</v>
      </c>
      <c r="R27" s="178" t="s">
        <v>2841</v>
      </c>
    </row>
    <row r="28" spans="1:18" s="148" customFormat="1" ht="36" customHeight="1" x14ac:dyDescent="0.2">
      <c r="B28" s="170">
        <v>42772</v>
      </c>
      <c r="C28" s="170" t="s">
        <v>2351</v>
      </c>
      <c r="D28" s="178" t="s">
        <v>2835</v>
      </c>
      <c r="E28" s="172" t="s">
        <v>2842</v>
      </c>
      <c r="F28" s="173" t="s">
        <v>2840</v>
      </c>
      <c r="G28" s="171" t="s">
        <v>28</v>
      </c>
      <c r="H28" s="171" t="s">
        <v>743</v>
      </c>
      <c r="I28" s="171" t="s">
        <v>19</v>
      </c>
      <c r="J28" s="214">
        <f t="shared" si="14"/>
        <v>4000</v>
      </c>
      <c r="K28" s="202">
        <v>46.9</v>
      </c>
      <c r="L28" s="215">
        <f t="shared" si="10"/>
        <v>85.287846481876329</v>
      </c>
      <c r="M28" s="171">
        <v>60</v>
      </c>
      <c r="N28" s="204">
        <f t="shared" si="11"/>
        <v>66.666666666666671</v>
      </c>
      <c r="O28" s="205">
        <f t="shared" ca="1" si="12"/>
        <v>84</v>
      </c>
      <c r="P28" s="206">
        <f t="shared" ca="1" si="13"/>
        <v>-1600</v>
      </c>
      <c r="Q28" s="207">
        <f t="shared" ca="1" si="4"/>
        <v>1</v>
      </c>
      <c r="R28" s="178" t="s">
        <v>2841</v>
      </c>
    </row>
    <row r="29" spans="1:18" s="148" customFormat="1" ht="36" customHeight="1" x14ac:dyDescent="0.2">
      <c r="B29" s="170">
        <v>42772</v>
      </c>
      <c r="C29" s="170" t="s">
        <v>2351</v>
      </c>
      <c r="D29" s="178" t="s">
        <v>2835</v>
      </c>
      <c r="E29" s="172" t="s">
        <v>2843</v>
      </c>
      <c r="F29" s="173" t="s">
        <v>2840</v>
      </c>
      <c r="G29" s="171" t="s">
        <v>28</v>
      </c>
      <c r="H29" s="171" t="s">
        <v>743</v>
      </c>
      <c r="I29" s="171" t="s">
        <v>19</v>
      </c>
      <c r="J29" s="214">
        <f t="shared" si="14"/>
        <v>4000</v>
      </c>
      <c r="K29" s="202">
        <v>46.9</v>
      </c>
      <c r="L29" s="215">
        <f t="shared" si="10"/>
        <v>85.287846481876329</v>
      </c>
      <c r="M29" s="171">
        <v>60</v>
      </c>
      <c r="N29" s="204">
        <f t="shared" si="11"/>
        <v>66.666666666666671</v>
      </c>
      <c r="O29" s="205">
        <f t="shared" ca="1" si="12"/>
        <v>84</v>
      </c>
      <c r="P29" s="206">
        <f t="shared" ca="1" si="13"/>
        <v>-1600</v>
      </c>
      <c r="Q29" s="207">
        <f t="shared" ca="1" si="4"/>
        <v>1</v>
      </c>
      <c r="R29" s="178" t="s">
        <v>2841</v>
      </c>
    </row>
    <row r="30" spans="1:18" s="148" customFormat="1" ht="36" customHeight="1" x14ac:dyDescent="0.2">
      <c r="B30" s="170">
        <v>42772</v>
      </c>
      <c r="C30" s="170" t="s">
        <v>2351</v>
      </c>
      <c r="D30" s="178" t="s">
        <v>2835</v>
      </c>
      <c r="E30" s="172" t="s">
        <v>2844</v>
      </c>
      <c r="F30" s="173" t="s">
        <v>2840</v>
      </c>
      <c r="G30" s="171" t="s">
        <v>28</v>
      </c>
      <c r="H30" s="171" t="s">
        <v>743</v>
      </c>
      <c r="I30" s="171" t="s">
        <v>19</v>
      </c>
      <c r="J30" s="214">
        <f t="shared" si="14"/>
        <v>4000</v>
      </c>
      <c r="K30" s="202">
        <v>46.9</v>
      </c>
      <c r="L30" s="215">
        <f t="shared" si="10"/>
        <v>85.287846481876329</v>
      </c>
      <c r="M30" s="171">
        <v>60</v>
      </c>
      <c r="N30" s="204">
        <f t="shared" si="11"/>
        <v>66.666666666666671</v>
      </c>
      <c r="O30" s="205">
        <f t="shared" ca="1" si="12"/>
        <v>84</v>
      </c>
      <c r="P30" s="206">
        <f t="shared" ca="1" si="13"/>
        <v>-1600</v>
      </c>
      <c r="Q30" s="207">
        <f t="shared" ca="1" si="4"/>
        <v>1</v>
      </c>
      <c r="R30" s="178" t="s">
        <v>2841</v>
      </c>
    </row>
    <row r="31" spans="1:18" s="148" customFormat="1" ht="36" customHeight="1" x14ac:dyDescent="0.2">
      <c r="B31" s="170">
        <v>42772</v>
      </c>
      <c r="C31" s="170" t="s">
        <v>2351</v>
      </c>
      <c r="D31" s="178" t="s">
        <v>2835</v>
      </c>
      <c r="E31" s="172" t="s">
        <v>2845</v>
      </c>
      <c r="F31" s="173" t="s">
        <v>2840</v>
      </c>
      <c r="G31" s="171" t="s">
        <v>28</v>
      </c>
      <c r="H31" s="171" t="s">
        <v>743</v>
      </c>
      <c r="I31" s="171" t="s">
        <v>19</v>
      </c>
      <c r="J31" s="214">
        <f t="shared" si="14"/>
        <v>4000</v>
      </c>
      <c r="K31" s="202">
        <v>46.9</v>
      </c>
      <c r="L31" s="215">
        <f t="shared" si="10"/>
        <v>85.287846481876329</v>
      </c>
      <c r="M31" s="171">
        <v>60</v>
      </c>
      <c r="N31" s="204">
        <f t="shared" si="11"/>
        <v>66.666666666666671</v>
      </c>
      <c r="O31" s="205">
        <f t="shared" ca="1" si="12"/>
        <v>84</v>
      </c>
      <c r="P31" s="206">
        <f t="shared" ca="1" si="13"/>
        <v>-1600</v>
      </c>
      <c r="Q31" s="207">
        <f t="shared" ca="1" si="4"/>
        <v>1</v>
      </c>
      <c r="R31" s="178" t="s">
        <v>2841</v>
      </c>
    </row>
    <row r="32" spans="1:18" s="148" customFormat="1" ht="36" customHeight="1" x14ac:dyDescent="0.2">
      <c r="B32" s="170">
        <v>42772</v>
      </c>
      <c r="C32" s="170" t="s">
        <v>2351</v>
      </c>
      <c r="D32" s="178" t="s">
        <v>2835</v>
      </c>
      <c r="E32" s="172" t="s">
        <v>2846</v>
      </c>
      <c r="F32" s="173" t="s">
        <v>2840</v>
      </c>
      <c r="G32" s="171" t="s">
        <v>28</v>
      </c>
      <c r="H32" s="171" t="s">
        <v>743</v>
      </c>
      <c r="I32" s="171" t="s">
        <v>19</v>
      </c>
      <c r="J32" s="214">
        <f t="shared" si="14"/>
        <v>4000</v>
      </c>
      <c r="K32" s="202">
        <v>46.9</v>
      </c>
      <c r="L32" s="215">
        <f t="shared" si="10"/>
        <v>85.287846481876329</v>
      </c>
      <c r="M32" s="171">
        <v>60</v>
      </c>
      <c r="N32" s="204">
        <f t="shared" si="11"/>
        <v>66.666666666666671</v>
      </c>
      <c r="O32" s="205">
        <f t="shared" ca="1" si="12"/>
        <v>84</v>
      </c>
      <c r="P32" s="206">
        <f t="shared" ca="1" si="13"/>
        <v>-1600</v>
      </c>
      <c r="Q32" s="207">
        <f t="shared" ca="1" si="4"/>
        <v>1</v>
      </c>
      <c r="R32" s="178" t="s">
        <v>2841</v>
      </c>
    </row>
    <row r="33" spans="2:18" s="148" customFormat="1" ht="36" customHeight="1" x14ac:dyDescent="0.2">
      <c r="B33" s="170">
        <v>42772</v>
      </c>
      <c r="C33" s="170" t="s">
        <v>2351</v>
      </c>
      <c r="D33" s="178" t="s">
        <v>2835</v>
      </c>
      <c r="E33" s="172" t="s">
        <v>2847</v>
      </c>
      <c r="F33" s="173" t="s">
        <v>2848</v>
      </c>
      <c r="G33" s="171" t="s">
        <v>28</v>
      </c>
      <c r="H33" s="171" t="s">
        <v>743</v>
      </c>
      <c r="I33" s="171" t="s">
        <v>19</v>
      </c>
      <c r="J33" s="214">
        <v>1106.25</v>
      </c>
      <c r="K33" s="202">
        <v>46.9</v>
      </c>
      <c r="L33" s="215">
        <f t="shared" si="10"/>
        <v>23.587420042643924</v>
      </c>
      <c r="M33" s="171">
        <v>60</v>
      </c>
      <c r="N33" s="204">
        <f t="shared" si="11"/>
        <v>18.4375</v>
      </c>
      <c r="O33" s="205">
        <f t="shared" ca="1" si="12"/>
        <v>84</v>
      </c>
      <c r="P33" s="206">
        <f t="shared" ca="1" si="13"/>
        <v>-442.5</v>
      </c>
      <c r="Q33" s="207">
        <f t="shared" ca="1" si="4"/>
        <v>1</v>
      </c>
      <c r="R33" s="178" t="s">
        <v>2849</v>
      </c>
    </row>
    <row r="34" spans="2:18" s="148" customFormat="1" ht="36" customHeight="1" x14ac:dyDescent="0.2">
      <c r="B34" s="170">
        <v>42772</v>
      </c>
      <c r="C34" s="170" t="s">
        <v>2351</v>
      </c>
      <c r="D34" s="178" t="s">
        <v>2835</v>
      </c>
      <c r="E34" s="172" t="s">
        <v>2850</v>
      </c>
      <c r="F34" s="173" t="s">
        <v>2851</v>
      </c>
      <c r="G34" s="171" t="s">
        <v>28</v>
      </c>
      <c r="H34" s="171" t="s">
        <v>743</v>
      </c>
      <c r="I34" s="171" t="s">
        <v>19</v>
      </c>
      <c r="J34" s="214">
        <v>4500</v>
      </c>
      <c r="K34" s="202">
        <v>46.9</v>
      </c>
      <c r="L34" s="215">
        <f t="shared" si="10"/>
        <v>95.948827292110877</v>
      </c>
      <c r="M34" s="171">
        <v>60</v>
      </c>
      <c r="N34" s="204">
        <f t="shared" si="11"/>
        <v>75</v>
      </c>
      <c r="O34" s="205">
        <f t="shared" ca="1" si="12"/>
        <v>84</v>
      </c>
      <c r="P34" s="206">
        <f t="shared" ca="1" si="13"/>
        <v>-1800</v>
      </c>
      <c r="Q34" s="207">
        <f t="shared" ca="1" si="4"/>
        <v>1</v>
      </c>
      <c r="R34" s="178" t="s">
        <v>2841</v>
      </c>
    </row>
    <row r="35" spans="2:18" s="155" customFormat="1" ht="36" customHeight="1" x14ac:dyDescent="0.2">
      <c r="B35" s="174">
        <v>42772</v>
      </c>
      <c r="C35" s="170" t="s">
        <v>2351</v>
      </c>
      <c r="D35" s="179" t="s">
        <v>2835</v>
      </c>
      <c r="E35" s="176" t="s">
        <v>2852</v>
      </c>
      <c r="F35" s="177" t="s">
        <v>2853</v>
      </c>
      <c r="G35" s="175" t="s">
        <v>28</v>
      </c>
      <c r="H35" s="175" t="s">
        <v>743</v>
      </c>
      <c r="I35" s="175" t="s">
        <v>19</v>
      </c>
      <c r="J35" s="216">
        <v>4945</v>
      </c>
      <c r="K35" s="209">
        <v>46.9</v>
      </c>
      <c r="L35" s="217">
        <f t="shared" si="10"/>
        <v>105.43710021321962</v>
      </c>
      <c r="M35" s="171">
        <v>60</v>
      </c>
      <c r="N35" s="211">
        <f t="shared" si="11"/>
        <v>82.416666666666671</v>
      </c>
      <c r="O35" s="212">
        <f t="shared" ca="1" si="12"/>
        <v>84</v>
      </c>
      <c r="P35" s="218">
        <f t="shared" ca="1" si="13"/>
        <v>-1978</v>
      </c>
      <c r="Q35" s="207">
        <f t="shared" ca="1" si="4"/>
        <v>1</v>
      </c>
      <c r="R35" s="179" t="s">
        <v>2841</v>
      </c>
    </row>
    <row r="36" spans="2:18" s="148" customFormat="1" ht="36" customHeight="1" x14ac:dyDescent="0.2">
      <c r="B36" s="170">
        <v>43783</v>
      </c>
      <c r="C36" s="170" t="s">
        <v>2351</v>
      </c>
      <c r="D36" s="178" t="s">
        <v>2854</v>
      </c>
      <c r="E36" s="171" t="s">
        <v>2855</v>
      </c>
      <c r="F36" s="173" t="s">
        <v>2856</v>
      </c>
      <c r="G36" s="171" t="s">
        <v>28</v>
      </c>
      <c r="H36" s="171" t="s">
        <v>2857</v>
      </c>
      <c r="I36" s="171" t="s">
        <v>19</v>
      </c>
      <c r="J36" s="219">
        <v>2373</v>
      </c>
      <c r="K36" s="219">
        <v>52.7806</v>
      </c>
      <c r="L36" s="220">
        <f t="shared" si="10"/>
        <v>44.959701102298951</v>
      </c>
      <c r="M36" s="171">
        <v>36</v>
      </c>
      <c r="N36" s="204">
        <f t="shared" si="11"/>
        <v>65.916666666666671</v>
      </c>
      <c r="O36" s="205">
        <f t="shared" ca="1" si="12"/>
        <v>51</v>
      </c>
      <c r="P36" s="221">
        <f t="shared" ca="1" si="13"/>
        <v>-988.75000000000045</v>
      </c>
      <c r="Q36" s="207">
        <f t="shared" ca="1" si="4"/>
        <v>1</v>
      </c>
      <c r="R36" s="178" t="s">
        <v>2858</v>
      </c>
    </row>
    <row r="37" spans="2:18" s="148" customFormat="1" ht="48.75" customHeight="1" x14ac:dyDescent="0.2">
      <c r="B37" s="170">
        <v>44649</v>
      </c>
      <c r="C37" s="170" t="s">
        <v>2351</v>
      </c>
      <c r="D37" s="180" t="s">
        <v>2859</v>
      </c>
      <c r="E37" s="171" t="s">
        <v>2860</v>
      </c>
      <c r="F37" s="181" t="s">
        <v>2861</v>
      </c>
      <c r="G37" s="171" t="s">
        <v>28</v>
      </c>
      <c r="H37" s="180" t="s">
        <v>2862</v>
      </c>
      <c r="I37" s="171" t="s">
        <v>19</v>
      </c>
      <c r="J37" s="214">
        <v>16933</v>
      </c>
      <c r="K37" s="222">
        <v>54.876100000000001</v>
      </c>
      <c r="L37" s="217">
        <f t="shared" si="10"/>
        <v>308.56784647597038</v>
      </c>
      <c r="M37" s="171">
        <v>60</v>
      </c>
      <c r="N37" s="223">
        <f>IF(AND(J37&lt;&gt;0,L38&lt;&gt;0),J37/L38,0)</f>
        <v>54.876100000000008</v>
      </c>
      <c r="O37" s="223">
        <f t="shared" ca="1" si="12"/>
        <v>22</v>
      </c>
      <c r="P37" s="223">
        <f ca="1">IF(OR(J37=0,L38=0,O37=0),0,J37-(N37*O37))</f>
        <v>15725.7258</v>
      </c>
      <c r="Q37" s="207">
        <f t="shared" ca="1" si="4"/>
        <v>15725.7258</v>
      </c>
      <c r="R37" s="181" t="s">
        <v>2863</v>
      </c>
    </row>
    <row r="38" spans="2:18" s="148" customFormat="1" ht="45" customHeight="1" x14ac:dyDescent="0.2">
      <c r="B38" s="170">
        <v>44649</v>
      </c>
      <c r="C38" s="170" t="s">
        <v>2351</v>
      </c>
      <c r="D38" s="180" t="s">
        <v>2859</v>
      </c>
      <c r="E38" s="171" t="s">
        <v>2864</v>
      </c>
      <c r="F38" s="181" t="s">
        <v>2861</v>
      </c>
      <c r="G38" s="171" t="s">
        <v>28</v>
      </c>
      <c r="H38" s="180" t="s">
        <v>2862</v>
      </c>
      <c r="I38" s="171" t="s">
        <v>19</v>
      </c>
      <c r="J38" s="214">
        <v>16933</v>
      </c>
      <c r="K38" s="222">
        <v>54.876100000000001</v>
      </c>
      <c r="L38" s="217">
        <f t="shared" si="10"/>
        <v>308.56784647597038</v>
      </c>
      <c r="M38" s="171">
        <v>60</v>
      </c>
      <c r="N38" s="223">
        <f>IF(AND(J38&lt;&gt;0,L39&lt;&gt;0),J38/L39,0)</f>
        <v>0.15509778954153922</v>
      </c>
      <c r="O38" s="223">
        <f t="shared" ca="1" si="12"/>
        <v>22</v>
      </c>
      <c r="P38" s="223">
        <f ca="1">IF(OR(J38=0,L39=0,O38=0),0,J38-(N38*O38))</f>
        <v>16929.587848630086</v>
      </c>
      <c r="Q38" s="207">
        <f t="shared" ca="1" si="4"/>
        <v>16929.587848630086</v>
      </c>
      <c r="R38" s="181" t="s">
        <v>2863</v>
      </c>
    </row>
    <row r="39" spans="2:18" s="148" customFormat="1" ht="15.75" customHeight="1" x14ac:dyDescent="0.2">
      <c r="B39" s="182"/>
      <c r="C39" s="544"/>
      <c r="D39" s="183"/>
      <c r="E39" s="184" t="s">
        <v>2334</v>
      </c>
      <c r="F39" s="184"/>
      <c r="G39" s="184"/>
      <c r="H39" s="184"/>
      <c r="I39" s="185"/>
      <c r="J39" s="224">
        <f>SUBTOTAL(9,J7:J38)</f>
        <v>3663593.21</v>
      </c>
      <c r="K39" s="225"/>
      <c r="L39" s="224">
        <f>SUBTOTAL(9,L7:L38)</f>
        <v>109176.28194478493</v>
      </c>
      <c r="M39" s="226"/>
      <c r="N39" s="227"/>
      <c r="O39" s="228"/>
      <c r="P39" s="224">
        <f ca="1">SUBTOTAL(9,P7:P37)</f>
        <v>-9521474.8193666656</v>
      </c>
      <c r="Q39" s="229">
        <f ca="1">SUM(Q7:Q38)</f>
        <v>37716.627315296748</v>
      </c>
      <c r="R39" s="245"/>
    </row>
    <row r="40" spans="2:18" s="148" customFormat="1" ht="14.25" customHeight="1" x14ac:dyDescent="0.25">
      <c r="B40" s="186"/>
      <c r="C40" s="545"/>
      <c r="D40" s="187"/>
      <c r="E40" s="187"/>
      <c r="F40" s="854"/>
      <c r="G40" s="854"/>
      <c r="H40" s="854"/>
      <c r="I40" s="188"/>
      <c r="J40" s="230"/>
      <c r="L40" s="231"/>
      <c r="M40" s="232"/>
      <c r="N40" s="136"/>
      <c r="O40" s="132"/>
      <c r="P40" s="233"/>
      <c r="Q40" s="233"/>
      <c r="R40" s="246"/>
    </row>
    <row r="41" spans="2:18" s="148" customFormat="1" x14ac:dyDescent="0.25">
      <c r="B41" s="189"/>
      <c r="C41" s="546"/>
      <c r="D41" s="190"/>
      <c r="E41" s="190"/>
      <c r="F41" s="191"/>
      <c r="G41" s="192"/>
      <c r="H41" s="192"/>
      <c r="I41" s="192"/>
      <c r="J41" s="234"/>
      <c r="K41" s="136"/>
      <c r="L41" s="132"/>
      <c r="M41" s="235"/>
      <c r="N41" s="236"/>
      <c r="O41" s="237"/>
      <c r="P41" s="238"/>
      <c r="Q41" s="238"/>
      <c r="R41" s="247"/>
    </row>
    <row r="42" spans="2:18" s="148" customFormat="1" x14ac:dyDescent="0.25">
      <c r="B42" s="189"/>
      <c r="C42" s="546"/>
      <c r="D42" s="192"/>
      <c r="E42" s="192"/>
      <c r="F42" s="191"/>
      <c r="G42" s="855" t="s">
        <v>2335</v>
      </c>
      <c r="H42" s="856"/>
      <c r="I42" s="857"/>
      <c r="J42" s="239"/>
      <c r="M42" s="235"/>
      <c r="N42" s="136"/>
      <c r="O42" s="132"/>
      <c r="P42" s="238"/>
      <c r="Q42" s="238"/>
      <c r="R42" s="247"/>
    </row>
    <row r="43" spans="2:18" s="148" customFormat="1" ht="12.75" x14ac:dyDescent="0.2">
      <c r="B43" s="189"/>
      <c r="C43" s="546"/>
      <c r="D43" s="192"/>
      <c r="E43" s="192"/>
      <c r="F43" s="191"/>
      <c r="G43" s="193"/>
      <c r="H43" s="194" t="s">
        <v>2336</v>
      </c>
      <c r="I43" s="195" t="s">
        <v>2337</v>
      </c>
      <c r="J43" s="240"/>
      <c r="L43" s="240"/>
      <c r="M43" s="235"/>
      <c r="N43" s="236"/>
      <c r="O43" s="237"/>
      <c r="P43" s="238"/>
      <c r="Q43" s="238"/>
      <c r="R43" s="247"/>
    </row>
    <row r="44" spans="2:18" s="148" customFormat="1" ht="16.149999999999999" customHeight="1" x14ac:dyDescent="0.2">
      <c r="B44" s="189"/>
      <c r="C44" s="546"/>
      <c r="D44" s="196"/>
      <c r="E44" s="196"/>
      <c r="F44" s="197"/>
      <c r="G44" s="86" t="s">
        <v>2865</v>
      </c>
      <c r="H44" s="198">
        <f>SUM(J7:J8)</f>
        <v>13135</v>
      </c>
      <c r="I44" s="199">
        <f>SUM(L7:L8)</f>
        <v>774.46933962264143</v>
      </c>
      <c r="J44" s="241"/>
      <c r="K44" s="242"/>
      <c r="L44" s="241"/>
      <c r="M44" s="242"/>
      <c r="N44" s="242"/>
      <c r="O44" s="242"/>
      <c r="P44" s="238"/>
      <c r="Q44" s="238"/>
      <c r="R44" s="247"/>
    </row>
    <row r="45" spans="2:18" s="148" customFormat="1" ht="16.149999999999999" customHeight="1" x14ac:dyDescent="0.2">
      <c r="B45" s="189"/>
      <c r="C45" s="546"/>
      <c r="D45" s="196"/>
      <c r="E45" s="196"/>
      <c r="F45" s="197"/>
      <c r="G45" s="86" t="s">
        <v>2866</v>
      </c>
      <c r="H45" s="198">
        <f>SUM(J9:J17)</f>
        <v>115146.77</v>
      </c>
      <c r="I45" s="199">
        <f>SUM(L9:L17)</f>
        <v>5559.9599227426352</v>
      </c>
      <c r="J45" s="241"/>
      <c r="M45" s="242"/>
      <c r="P45" s="238"/>
      <c r="Q45" s="238"/>
      <c r="R45" s="247"/>
    </row>
    <row r="46" spans="2:18" s="148" customFormat="1" ht="16.149999999999999" customHeight="1" x14ac:dyDescent="0.2">
      <c r="B46" s="189"/>
      <c r="C46" s="546"/>
      <c r="D46" s="196"/>
      <c r="E46" s="196"/>
      <c r="F46" s="197"/>
      <c r="G46" s="86" t="s">
        <v>2867</v>
      </c>
      <c r="H46" s="198">
        <v>0</v>
      </c>
      <c r="I46" s="199">
        <v>0</v>
      </c>
      <c r="P46" s="238"/>
      <c r="Q46" s="238"/>
      <c r="R46" s="247"/>
    </row>
    <row r="47" spans="2:18" s="148" customFormat="1" ht="16.149999999999999" customHeight="1" x14ac:dyDescent="0.2">
      <c r="B47" s="189"/>
      <c r="C47" s="546"/>
      <c r="D47" s="196"/>
      <c r="E47" s="196"/>
      <c r="F47" s="197"/>
      <c r="G47" s="86" t="s">
        <v>2868</v>
      </c>
      <c r="H47" s="198">
        <v>0</v>
      </c>
      <c r="I47" s="199">
        <v>0</v>
      </c>
      <c r="R47" s="247"/>
    </row>
    <row r="48" spans="2:18" s="148" customFormat="1" ht="16.149999999999999" customHeight="1" x14ac:dyDescent="0.25">
      <c r="B48" s="189"/>
      <c r="C48" s="546"/>
      <c r="D48" s="196"/>
      <c r="E48" s="196"/>
      <c r="F48" s="197"/>
      <c r="G48" s="86" t="s">
        <v>2338</v>
      </c>
      <c r="H48" s="198">
        <f>SUM(J18:J20)</f>
        <v>2173054</v>
      </c>
      <c r="I48" s="199">
        <f>SUM(L18:L20)</f>
        <v>63206.922629435714</v>
      </c>
      <c r="J48" s="234"/>
      <c r="K48" s="131" t="s">
        <v>2645</v>
      </c>
      <c r="L48" s="243" t="s">
        <v>2646</v>
      </c>
      <c r="M48" s="235"/>
      <c r="N48" s="236"/>
      <c r="O48" s="237"/>
      <c r="R48" s="247"/>
    </row>
    <row r="49" spans="2:18" s="148" customFormat="1" ht="16.149999999999999" customHeight="1" x14ac:dyDescent="0.2">
      <c r="B49" s="189"/>
      <c r="C49" s="546"/>
      <c r="D49" s="196"/>
      <c r="E49" s="196"/>
      <c r="F49" s="197"/>
      <c r="G49" s="86" t="s">
        <v>2339</v>
      </c>
      <c r="H49" s="198">
        <f>SUM(J21)</f>
        <v>1238989.55</v>
      </c>
      <c r="I49" s="199">
        <f>SUM(L21)</f>
        <v>37006.856332138595</v>
      </c>
      <c r="J49" s="234"/>
      <c r="K49" s="127"/>
      <c r="L49" s="129"/>
      <c r="M49" s="235"/>
      <c r="N49" s="236"/>
      <c r="O49" s="237"/>
      <c r="R49" s="247"/>
    </row>
    <row r="50" spans="2:18" s="148" customFormat="1" ht="16.149999999999999" customHeight="1" x14ac:dyDescent="0.25">
      <c r="B50" s="189"/>
      <c r="C50" s="546"/>
      <c r="D50" s="196"/>
      <c r="E50" s="196"/>
      <c r="F50" s="197"/>
      <c r="G50" s="86" t="s">
        <v>2340</v>
      </c>
      <c r="H50" s="198">
        <v>0</v>
      </c>
      <c r="I50" s="199">
        <v>0</v>
      </c>
      <c r="J50" s="234"/>
      <c r="K50" s="131" t="s">
        <v>2647</v>
      </c>
      <c r="L50" s="244" t="s">
        <v>2648</v>
      </c>
      <c r="M50" s="235"/>
      <c r="N50" s="236"/>
      <c r="O50" s="237"/>
      <c r="R50" s="247"/>
    </row>
    <row r="51" spans="2:18" s="148" customFormat="1" ht="16.149999999999999" customHeight="1" x14ac:dyDescent="0.2">
      <c r="B51" s="189"/>
      <c r="C51" s="546"/>
      <c r="D51" s="196"/>
      <c r="E51" s="196"/>
      <c r="F51" s="197"/>
      <c r="G51" s="86" t="s">
        <v>2341</v>
      </c>
      <c r="H51" s="198">
        <v>0</v>
      </c>
      <c r="I51" s="199">
        <v>0</v>
      </c>
      <c r="J51" s="234"/>
      <c r="K51" s="127"/>
      <c r="L51" s="128"/>
      <c r="M51" s="235"/>
      <c r="N51" s="236"/>
      <c r="O51" s="237"/>
      <c r="R51" s="247"/>
    </row>
    <row r="52" spans="2:18" s="148" customFormat="1" ht="16.149999999999999" customHeight="1" x14ac:dyDescent="0.25">
      <c r="B52" s="189"/>
      <c r="C52" s="546"/>
      <c r="D52" s="196"/>
      <c r="E52" s="196"/>
      <c r="F52" s="197"/>
      <c r="G52" s="248" t="s">
        <v>2342</v>
      </c>
      <c r="H52" s="249">
        <f>SUM(J22)</f>
        <v>7194</v>
      </c>
      <c r="I52" s="250">
        <f>SUM(L22)</f>
        <v>199.11430943814003</v>
      </c>
      <c r="J52" s="234"/>
      <c r="K52" s="136" t="s">
        <v>2649</v>
      </c>
      <c r="L52" s="243" t="s">
        <v>2869</v>
      </c>
      <c r="M52" s="286"/>
      <c r="N52" s="287"/>
      <c r="O52" s="288"/>
      <c r="R52" s="247"/>
    </row>
    <row r="53" spans="2:18" s="148" customFormat="1" ht="16.149999999999999" customHeight="1" x14ac:dyDescent="0.2">
      <c r="B53" s="189"/>
      <c r="C53" s="546"/>
      <c r="D53" s="196"/>
      <c r="E53" s="196"/>
      <c r="F53" s="197"/>
      <c r="G53" s="86" t="s">
        <v>2343</v>
      </c>
      <c r="H53" s="198">
        <v>0</v>
      </c>
      <c r="I53" s="199">
        <v>0</v>
      </c>
      <c r="R53" s="247"/>
    </row>
    <row r="54" spans="2:18" s="148" customFormat="1" ht="16.149999999999999" customHeight="1" x14ac:dyDescent="0.2">
      <c r="B54" s="189"/>
      <c r="C54" s="546"/>
      <c r="D54" s="196"/>
      <c r="E54" s="196"/>
      <c r="F54" s="197"/>
      <c r="G54" s="251" t="s">
        <v>2344</v>
      </c>
      <c r="H54" s="252">
        <v>0</v>
      </c>
      <c r="I54" s="253">
        <v>0</v>
      </c>
      <c r="R54" s="247"/>
    </row>
    <row r="55" spans="2:18" s="148" customFormat="1" ht="16.149999999999999" customHeight="1" x14ac:dyDescent="0.2">
      <c r="B55" s="189"/>
      <c r="C55" s="546"/>
      <c r="D55" s="196"/>
      <c r="E55" s="196"/>
      <c r="F55" s="197"/>
      <c r="G55" s="86" t="s">
        <v>2345</v>
      </c>
      <c r="H55" s="249">
        <f>SUM(J23:J23)</f>
        <v>3000</v>
      </c>
      <c r="I55" s="250">
        <f>SUM(L23:L23)</f>
        <v>76.706724622858601</v>
      </c>
      <c r="R55" s="247"/>
    </row>
    <row r="56" spans="2:18" s="148" customFormat="1" ht="16.149999999999999" customHeight="1" x14ac:dyDescent="0.2">
      <c r="B56" s="189"/>
      <c r="C56" s="546"/>
      <c r="D56" s="196"/>
      <c r="E56" s="196"/>
      <c r="F56" s="197"/>
      <c r="G56" s="248" t="s">
        <v>2346</v>
      </c>
      <c r="H56" s="198">
        <f>SUM(J24)</f>
        <v>8771.65</v>
      </c>
      <c r="I56" s="254">
        <f>SUM(L24)</f>
        <v>214.62319549792025</v>
      </c>
      <c r="J56" s="241"/>
      <c r="R56" s="247"/>
    </row>
    <row r="57" spans="2:18" s="148" customFormat="1" ht="16.149999999999999" customHeight="1" x14ac:dyDescent="0.2">
      <c r="B57" s="189"/>
      <c r="C57" s="546"/>
      <c r="D57" s="196"/>
      <c r="E57" s="196"/>
      <c r="F57" s="197"/>
      <c r="G57" s="255" t="s">
        <v>2348</v>
      </c>
      <c r="H57" s="249"/>
      <c r="I57" s="199"/>
      <c r="J57" s="289" t="s">
        <v>2870</v>
      </c>
      <c r="K57" s="290"/>
      <c r="L57" s="290"/>
      <c r="M57" s="290"/>
      <c r="N57" s="290"/>
      <c r="O57" s="290"/>
      <c r="P57" s="291"/>
      <c r="Q57" s="291"/>
      <c r="R57" s="290"/>
    </row>
    <row r="58" spans="2:18" s="148" customFormat="1" ht="16.149999999999999" customHeight="1" x14ac:dyDescent="0.2">
      <c r="B58" s="189"/>
      <c r="C58" s="546"/>
      <c r="D58" s="196"/>
      <c r="E58" s="196"/>
      <c r="F58" s="197"/>
      <c r="G58" s="255" t="s">
        <v>2349</v>
      </c>
      <c r="H58" s="256">
        <f>SUM(J25)</f>
        <v>24097.360000000001</v>
      </c>
      <c r="I58" s="199">
        <f>SUM(L25)</f>
        <v>538.09529126202756</v>
      </c>
      <c r="J58" s="292"/>
      <c r="K58" s="290"/>
      <c r="L58" s="290"/>
      <c r="M58" s="290"/>
      <c r="N58" s="290"/>
      <c r="O58" s="290"/>
      <c r="P58" s="291"/>
      <c r="Q58" s="291"/>
      <c r="R58" s="290"/>
    </row>
    <row r="59" spans="2:18" s="148" customFormat="1" ht="16.149999999999999" customHeight="1" x14ac:dyDescent="0.2">
      <c r="B59" s="189"/>
      <c r="C59" s="546"/>
      <c r="D59" s="196"/>
      <c r="E59" s="196"/>
      <c r="F59" s="197"/>
      <c r="G59" s="255" t="s">
        <v>2350</v>
      </c>
      <c r="H59" s="256">
        <v>0</v>
      </c>
      <c r="I59" s="250">
        <v>0</v>
      </c>
      <c r="J59" s="289" t="s">
        <v>2871</v>
      </c>
      <c r="K59" s="290"/>
      <c r="L59" s="290"/>
      <c r="M59" s="290"/>
      <c r="N59" s="290"/>
      <c r="O59" s="290"/>
      <c r="P59" s="291"/>
      <c r="Q59" s="291"/>
      <c r="R59" s="290"/>
    </row>
    <row r="60" spans="2:18" s="148" customFormat="1" ht="16.149999999999999" customHeight="1" x14ac:dyDescent="0.2">
      <c r="B60" s="189"/>
      <c r="C60" s="546"/>
      <c r="D60" s="196"/>
      <c r="E60" s="196"/>
      <c r="F60" s="808"/>
      <c r="G60" s="255" t="s">
        <v>2353</v>
      </c>
      <c r="H60" s="256">
        <f>SUM(J26:J35)</f>
        <v>43965.88</v>
      </c>
      <c r="I60" s="199">
        <f>SUM(L26:L35)</f>
        <v>937.43880597014925</v>
      </c>
      <c r="J60" s="290"/>
      <c r="K60" s="289" t="s">
        <v>2872</v>
      </c>
      <c r="L60" s="290"/>
      <c r="M60" s="290"/>
      <c r="N60" s="290"/>
      <c r="O60" s="290"/>
      <c r="P60" s="291"/>
      <c r="Q60" s="291"/>
      <c r="R60" s="290"/>
    </row>
    <row r="61" spans="2:18" s="148" customFormat="1" ht="16.149999999999999" customHeight="1" x14ac:dyDescent="0.2">
      <c r="B61" s="189"/>
      <c r="C61" s="546"/>
      <c r="D61" s="196"/>
      <c r="E61" s="196"/>
      <c r="F61" s="808"/>
      <c r="G61" s="255" t="s">
        <v>2354</v>
      </c>
      <c r="H61" s="256">
        <v>0</v>
      </c>
      <c r="I61" s="254">
        <v>0</v>
      </c>
      <c r="J61" s="290"/>
      <c r="K61" s="290"/>
      <c r="L61" s="290"/>
      <c r="M61" s="290"/>
      <c r="N61" s="290"/>
      <c r="O61" s="290"/>
      <c r="P61" s="291"/>
      <c r="Q61" s="291"/>
      <c r="R61" s="290"/>
    </row>
    <row r="62" spans="2:18" s="148" customFormat="1" ht="16.149999999999999" customHeight="1" x14ac:dyDescent="0.2">
      <c r="B62" s="189"/>
      <c r="C62" s="546"/>
      <c r="D62" s="196"/>
      <c r="E62" s="196"/>
      <c r="F62" s="197"/>
      <c r="G62" s="255" t="s">
        <v>2355</v>
      </c>
      <c r="H62" s="256">
        <f>+J36</f>
        <v>2373</v>
      </c>
      <c r="I62" s="199">
        <f>+L36</f>
        <v>44.959701102298951</v>
      </c>
      <c r="J62" s="289" t="s">
        <v>2873</v>
      </c>
      <c r="K62" s="290"/>
      <c r="L62" s="290"/>
      <c r="M62" s="290"/>
      <c r="N62" s="290"/>
      <c r="O62" s="290"/>
      <c r="P62" s="291"/>
      <c r="Q62" s="291"/>
      <c r="R62" s="290"/>
    </row>
    <row r="63" spans="2:18" s="148" customFormat="1" ht="16.149999999999999" customHeight="1" x14ac:dyDescent="0.25">
      <c r="B63" s="189"/>
      <c r="C63" s="546"/>
      <c r="D63" s="196"/>
      <c r="E63" s="196"/>
      <c r="F63" s="197"/>
      <c r="G63" s="255" t="s">
        <v>2356</v>
      </c>
      <c r="H63" s="257" t="s">
        <v>2351</v>
      </c>
      <c r="I63" s="258" t="s">
        <v>2351</v>
      </c>
      <c r="J63" s="137"/>
      <c r="K63" s="289" t="s">
        <v>2770</v>
      </c>
      <c r="L63" s="290"/>
      <c r="M63" s="290"/>
      <c r="N63" s="290"/>
      <c r="O63" s="290"/>
      <c r="P63" s="191"/>
      <c r="Q63" s="191"/>
    </row>
    <row r="64" spans="2:18" s="148" customFormat="1" ht="16.149999999999999" customHeight="1" x14ac:dyDescent="0.25">
      <c r="B64" s="189"/>
      <c r="C64" s="546"/>
      <c r="D64" s="196"/>
      <c r="E64" s="196"/>
      <c r="F64" s="197"/>
      <c r="G64" s="255" t="s">
        <v>2652</v>
      </c>
      <c r="H64" s="259" t="s">
        <v>2351</v>
      </c>
      <c r="I64" s="260" t="s">
        <v>2351</v>
      </c>
      <c r="J64" s="137"/>
      <c r="K64" s="289"/>
      <c r="L64" s="290"/>
      <c r="M64" s="290"/>
      <c r="N64" s="290"/>
      <c r="O64" s="290"/>
      <c r="P64" s="191"/>
      <c r="Q64" s="191"/>
    </row>
    <row r="65" spans="2:18" s="148" customFormat="1" ht="16.149999999999999" customHeight="1" x14ac:dyDescent="0.2">
      <c r="B65" s="189"/>
      <c r="C65" s="546"/>
      <c r="D65" s="196"/>
      <c r="E65" s="196"/>
      <c r="F65" s="197"/>
      <c r="G65" s="86" t="s">
        <v>2653</v>
      </c>
      <c r="H65" s="261">
        <f>SUM(J37:J38)</f>
        <v>33866</v>
      </c>
      <c r="I65" s="262">
        <f>SUM(L37:L38)</f>
        <v>617.13569295194077</v>
      </c>
      <c r="J65" s="289" t="s">
        <v>4922</v>
      </c>
      <c r="K65" s="289"/>
      <c r="L65" s="290"/>
      <c r="M65" s="290"/>
      <c r="N65" s="290"/>
      <c r="O65" s="290"/>
      <c r="P65" s="191"/>
      <c r="Q65" s="191"/>
    </row>
    <row r="66" spans="2:18" s="148" customFormat="1" ht="19.899999999999999" customHeight="1" x14ac:dyDescent="0.2">
      <c r="B66" s="189"/>
      <c r="C66" s="546"/>
      <c r="D66" s="196"/>
      <c r="E66" s="196"/>
      <c r="F66" s="197"/>
      <c r="G66" s="263" t="s">
        <v>2359</v>
      </c>
      <c r="H66" s="264">
        <f>SUM(H44:H65)</f>
        <v>3663593.21</v>
      </c>
      <c r="I66" s="265">
        <f>SUM(I44:I65)</f>
        <v>109176.2819447849</v>
      </c>
      <c r="J66" s="765" t="s">
        <v>4924</v>
      </c>
      <c r="P66" s="191"/>
      <c r="Q66" s="191"/>
    </row>
    <row r="67" spans="2:18" s="148" customFormat="1" ht="19.899999999999999" customHeight="1" x14ac:dyDescent="0.2">
      <c r="B67" s="189"/>
      <c r="C67" s="546"/>
      <c r="D67" s="196"/>
      <c r="E67" s="196"/>
      <c r="F67" s="197"/>
      <c r="G67" s="266"/>
      <c r="H67" s="267"/>
      <c r="I67" s="267"/>
      <c r="J67" s="764" t="s">
        <v>4923</v>
      </c>
      <c r="R67" s="247"/>
    </row>
    <row r="68" spans="2:18" s="148" customFormat="1" ht="19.899999999999999" customHeight="1" x14ac:dyDescent="0.2">
      <c r="B68" s="189"/>
      <c r="C68" s="546"/>
      <c r="D68" s="196"/>
      <c r="E68" s="196"/>
      <c r="F68" s="197"/>
      <c r="G68" s="266"/>
      <c r="H68" s="267"/>
      <c r="I68" s="267"/>
      <c r="R68" s="247"/>
    </row>
    <row r="69" spans="2:18" s="148" customFormat="1" ht="12.75" x14ac:dyDescent="0.2">
      <c r="B69" s="189"/>
      <c r="C69" s="546"/>
      <c r="D69" s="192"/>
      <c r="E69" s="192"/>
      <c r="F69" s="191"/>
      <c r="G69" s="281"/>
      <c r="H69" s="282"/>
      <c r="I69" s="282"/>
      <c r="J69" s="293"/>
      <c r="R69" s="247"/>
    </row>
    <row r="70" spans="2:18" s="148" customFormat="1" ht="12" customHeight="1" x14ac:dyDescent="0.2">
      <c r="B70" s="268"/>
      <c r="C70" s="547"/>
      <c r="D70" s="269"/>
      <c r="E70" s="269"/>
      <c r="F70" s="270"/>
      <c r="G70" s="822"/>
      <c r="J70" s="294"/>
      <c r="K70" s="295"/>
      <c r="L70" s="295"/>
      <c r="M70" s="295"/>
      <c r="N70" s="295"/>
      <c r="O70" s="295"/>
      <c r="P70" s="295"/>
      <c r="Q70" s="295"/>
      <c r="R70" s="296"/>
    </row>
    <row r="71" spans="2:18" s="156" customFormat="1" ht="17.25" customHeight="1" x14ac:dyDescent="0.25">
      <c r="B71" s="271" t="s">
        <v>2360</v>
      </c>
      <c r="C71" s="548"/>
      <c r="D71" s="272"/>
      <c r="E71" s="272"/>
      <c r="F71" s="273"/>
      <c r="G71" s="831" t="s">
        <v>2361</v>
      </c>
      <c r="H71" s="104"/>
      <c r="I71" s="828" t="s">
        <v>2362</v>
      </c>
      <c r="J71" s="828"/>
      <c r="K71" s="828"/>
      <c r="L71" s="828"/>
    </row>
    <row r="72" spans="2:18" s="148" customFormat="1" ht="12.75" x14ac:dyDescent="0.2">
      <c r="B72" s="189"/>
      <c r="C72" s="546"/>
      <c r="D72" s="192"/>
      <c r="E72" s="192"/>
      <c r="F72" s="191"/>
      <c r="G72" s="90"/>
      <c r="H72" s="90"/>
      <c r="I72" s="1"/>
      <c r="J72" s="1"/>
      <c r="K72" s="1"/>
      <c r="L72" s="90"/>
    </row>
    <row r="73" spans="2:18" s="148" customFormat="1" ht="12.75" x14ac:dyDescent="0.2">
      <c r="B73" s="189"/>
      <c r="C73" s="546"/>
      <c r="D73" s="192"/>
      <c r="E73" s="192"/>
      <c r="F73" s="191"/>
      <c r="G73" s="90"/>
      <c r="H73" s="90"/>
      <c r="I73" s="1"/>
      <c r="J73" s="1"/>
      <c r="K73" s="1"/>
      <c r="L73" s="90"/>
    </row>
    <row r="74" spans="2:18" s="148" customFormat="1" ht="12.75" x14ac:dyDescent="0.2">
      <c r="B74" s="832" t="s">
        <v>4937</v>
      </c>
      <c r="C74" s="832"/>
      <c r="D74" s="192"/>
      <c r="E74" s="192"/>
      <c r="F74" s="191"/>
      <c r="G74" s="825" t="s">
        <v>4942</v>
      </c>
      <c r="H74" s="90"/>
      <c r="I74" s="823"/>
      <c r="J74" s="142"/>
      <c r="K74" s="1"/>
      <c r="L74" s="94"/>
      <c r="M74" s="824"/>
      <c r="N74" s="824"/>
      <c r="O74" s="824"/>
      <c r="P74" s="824"/>
    </row>
    <row r="75" spans="2:18" s="157" customFormat="1" x14ac:dyDescent="0.25">
      <c r="B75" s="274" t="s">
        <v>2367</v>
      </c>
      <c r="C75" s="549"/>
      <c r="D75" s="275"/>
      <c r="E75" s="275"/>
      <c r="F75" s="276"/>
      <c r="G75" s="826" t="s">
        <v>2655</v>
      </c>
      <c r="H75" s="763"/>
      <c r="I75" s="829" t="s">
        <v>2369</v>
      </c>
      <c r="J75" s="763"/>
      <c r="K75" s="763"/>
      <c r="L75" s="763"/>
      <c r="M75" s="763" t="s">
        <v>4935</v>
      </c>
      <c r="N75" s="763"/>
      <c r="O75" s="763"/>
      <c r="P75" s="763"/>
    </row>
    <row r="76" spans="2:18" s="148" customFormat="1" ht="14.25" x14ac:dyDescent="0.2">
      <c r="B76" s="277" t="s">
        <v>2370</v>
      </c>
      <c r="C76" s="518"/>
      <c r="D76" s="278"/>
      <c r="E76" s="278"/>
      <c r="F76" s="279"/>
      <c r="G76" s="827" t="s">
        <v>2371</v>
      </c>
      <c r="H76" s="543"/>
      <c r="I76" s="830" t="s">
        <v>2656</v>
      </c>
      <c r="J76" s="762"/>
      <c r="K76" s="762"/>
      <c r="L76" s="762"/>
      <c r="M76" s="762" t="s">
        <v>4936</v>
      </c>
      <c r="N76" s="762"/>
      <c r="O76" s="762"/>
      <c r="P76" s="762"/>
    </row>
    <row r="77" spans="2:18" s="148" customFormat="1" x14ac:dyDescent="0.25">
      <c r="B77" s="820" t="s">
        <v>4926</v>
      </c>
      <c r="C77" s="821"/>
      <c r="D77" s="192"/>
      <c r="E77" s="192"/>
      <c r="F77" s="191"/>
      <c r="G77" s="154"/>
      <c r="H77" s="158"/>
      <c r="I77" s="158"/>
      <c r="J77"/>
      <c r="K77"/>
      <c r="L77"/>
      <c r="M77"/>
      <c r="N77"/>
      <c r="O77"/>
      <c r="P77"/>
      <c r="R77" s="297"/>
    </row>
    <row r="79" spans="2:18" x14ac:dyDescent="0.25">
      <c r="H79" s="283"/>
    </row>
    <row r="80" spans="2:18" x14ac:dyDescent="0.25">
      <c r="M80" s="145"/>
      <c r="N80" s="846"/>
      <c r="O80" s="846"/>
      <c r="P80" s="853"/>
    </row>
    <row r="81" spans="1:48" x14ac:dyDescent="0.25">
      <c r="H81" s="284"/>
      <c r="M81" s="1"/>
      <c r="N81" s="1"/>
      <c r="O81" s="1"/>
      <c r="P81" s="150"/>
    </row>
    <row r="82" spans="1:48" x14ac:dyDescent="0.25">
      <c r="M82" s="1"/>
      <c r="N82" s="1"/>
      <c r="O82" s="1"/>
      <c r="P82" s="150"/>
    </row>
    <row r="83" spans="1:48" x14ac:dyDescent="0.25">
      <c r="M83" s="1"/>
      <c r="N83" s="142"/>
      <c r="O83" s="142"/>
      <c r="P83" s="151"/>
    </row>
    <row r="84" spans="1:48" x14ac:dyDescent="0.25">
      <c r="M84" s="112"/>
      <c r="N84" s="848"/>
      <c r="O84" s="848"/>
      <c r="P84" s="858"/>
    </row>
    <row r="85" spans="1:48" s="154" customFormat="1" x14ac:dyDescent="0.25">
      <c r="A85"/>
      <c r="B85" s="158"/>
      <c r="C85" s="158"/>
      <c r="D85" s="158"/>
      <c r="E85" s="158"/>
      <c r="F85" s="285"/>
      <c r="H85" s="158"/>
      <c r="M85" s="146"/>
      <c r="N85" s="859"/>
      <c r="O85" s="859"/>
      <c r="P85" s="860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</row>
  </sheetData>
  <mergeCells count="5">
    <mergeCell ref="F40:H40"/>
    <mergeCell ref="G42:I42"/>
    <mergeCell ref="N80:P80"/>
    <mergeCell ref="N84:P84"/>
    <mergeCell ref="N85:P85"/>
  </mergeCells>
  <printOptions horizontalCentered="1" verticalCentered="1"/>
  <pageMargins left="0.31496062992125984" right="0.23622047244094491" top="0.27559055118110237" bottom="0.55118110236220474" header="0.23622047244094491" footer="0.35433070866141736"/>
  <pageSetup paperSize="5" scale="60" orientation="landscape" r:id="rId1"/>
  <headerFooter alignWithMargins="0">
    <oddHeader xml:space="preserve">&amp;R
</oddHeader>
    <oddFooter>&amp;C&amp;"Arial,Negrita"Pág. &amp;P - 4</oddFooter>
  </headerFooter>
  <rowBreaks count="3" manualBreakCount="3">
    <brk id="14" max="18" man="1"/>
    <brk id="28" max="18" man="1"/>
    <brk id="40" max="18" man="1"/>
  </rowBreaks>
  <ignoredErrors>
    <ignoredError sqref="H65 H44:I56 H58:I62" formulaRange="1"/>
    <ignoredError sqref="J39 L37:L39 M37:P37 P39:Q39 M38:P38 L7:L9 J23 L27:L35 L26 L21:L22 L25 L23:L24 L20 L10:L19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3:Y723"/>
  <sheetViews>
    <sheetView topLeftCell="A13" zoomScale="87" zoomScaleNormal="87" workbookViewId="0">
      <pane xSplit="4" topLeftCell="E1" activePane="topRight" state="frozenSplit"/>
      <selection pane="topRight" activeCell="R1" sqref="R1:R1048576"/>
    </sheetView>
  </sheetViews>
  <sheetFormatPr baseColWidth="10" defaultColWidth="9.140625" defaultRowHeight="12.75" x14ac:dyDescent="0.2"/>
  <cols>
    <col min="1" max="1" width="1.28515625" style="9" customWidth="1"/>
    <col min="2" max="2" width="13.28515625" style="9" customWidth="1"/>
    <col min="3" max="3" width="10.42578125" style="9" customWidth="1"/>
    <col min="4" max="4" width="9.85546875" style="9" customWidth="1"/>
    <col min="5" max="5" width="13.140625" style="9" customWidth="1"/>
    <col min="6" max="6" width="21.140625" style="9" customWidth="1"/>
    <col min="7" max="7" width="24.28515625" style="3" customWidth="1"/>
    <col min="8" max="8" width="21.42578125" style="10" customWidth="1"/>
    <col min="9" max="9" width="20" style="10" customWidth="1"/>
    <col min="10" max="10" width="21.140625" style="9" customWidth="1"/>
    <col min="11" max="11" width="7.85546875" style="9" customWidth="1"/>
    <col min="12" max="12" width="18.42578125" style="9" customWidth="1"/>
    <col min="13" max="13" width="9" style="9" customWidth="1"/>
    <col min="14" max="14" width="14.140625" style="9" customWidth="1"/>
    <col min="15" max="15" width="7.42578125" style="9" hidden="1" customWidth="1"/>
    <col min="16" max="16" width="15.85546875" style="9" hidden="1" customWidth="1"/>
    <col min="17" max="17" width="19" style="9" customWidth="1"/>
    <col min="18" max="18" width="14.85546875" style="9" customWidth="1"/>
    <col min="19" max="20" width="2.28515625" style="9" customWidth="1"/>
    <col min="21" max="21" width="2.5703125" style="9" customWidth="1"/>
    <col min="22" max="22" width="2.7109375" style="9" customWidth="1"/>
    <col min="23" max="16384" width="9.140625" style="9"/>
  </cols>
  <sheetData>
    <row r="3" spans="2:18" s="1" customFormat="1" ht="25.15" customHeight="1" x14ac:dyDescent="0.3">
      <c r="D3" s="11"/>
      <c r="E3" s="12" t="s">
        <v>2657</v>
      </c>
      <c r="F3" s="13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2:18" s="2" customFormat="1" ht="22.15" customHeight="1" x14ac:dyDescent="0.3">
      <c r="D4" s="11"/>
      <c r="E4" s="14" t="s">
        <v>2874</v>
      </c>
      <c r="F4" s="15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</row>
    <row r="5" spans="2:18" s="1" customFormat="1" ht="22.15" customHeight="1" x14ac:dyDescent="0.25">
      <c r="D5" s="17"/>
      <c r="E5" s="566" t="s">
        <v>4917</v>
      </c>
      <c r="F5" s="19"/>
      <c r="G5" s="20"/>
      <c r="H5" s="20"/>
      <c r="I5" s="20"/>
      <c r="J5" s="17"/>
      <c r="K5" s="17"/>
      <c r="L5" s="17"/>
      <c r="M5" s="17"/>
      <c r="N5" s="17"/>
      <c r="O5" s="17"/>
      <c r="P5" s="17"/>
      <c r="Q5" s="17"/>
      <c r="R5" s="17"/>
    </row>
    <row r="6" spans="2:18" s="1" customFormat="1" ht="10.15" customHeight="1" x14ac:dyDescent="0.2">
      <c r="D6" s="21"/>
      <c r="E6" s="22"/>
      <c r="F6" s="22"/>
      <c r="G6" s="22"/>
      <c r="H6" s="22"/>
      <c r="I6" s="22"/>
      <c r="J6" s="21"/>
      <c r="K6" s="21"/>
      <c r="L6" s="21"/>
      <c r="M6" s="21"/>
      <c r="N6" s="21"/>
      <c r="O6" s="21"/>
      <c r="P6" s="21"/>
      <c r="Q6" s="21"/>
      <c r="R6" s="21"/>
    </row>
    <row r="7" spans="2:18" s="3" customFormat="1" ht="54" customHeight="1" x14ac:dyDescent="0.2">
      <c r="B7" s="533" t="s">
        <v>4344</v>
      </c>
      <c r="C7" s="533" t="s">
        <v>4345</v>
      </c>
      <c r="D7" s="631" t="s">
        <v>2376</v>
      </c>
      <c r="E7" s="631" t="s">
        <v>4</v>
      </c>
      <c r="F7" s="631" t="s">
        <v>5</v>
      </c>
      <c r="G7" s="631" t="s">
        <v>6</v>
      </c>
      <c r="H7" s="631" t="s">
        <v>2377</v>
      </c>
      <c r="I7" s="632" t="s">
        <v>8</v>
      </c>
      <c r="J7" s="631" t="s">
        <v>9</v>
      </c>
      <c r="K7" s="631" t="s">
        <v>10</v>
      </c>
      <c r="L7" s="631" t="s">
        <v>2875</v>
      </c>
      <c r="M7" s="631" t="s">
        <v>12</v>
      </c>
      <c r="N7" s="631" t="s">
        <v>2876</v>
      </c>
      <c r="O7" s="631" t="s">
        <v>14</v>
      </c>
      <c r="P7" s="631" t="s">
        <v>15</v>
      </c>
      <c r="Q7" s="631" t="s">
        <v>15</v>
      </c>
      <c r="R7" s="633" t="s">
        <v>16</v>
      </c>
    </row>
    <row r="8" spans="2:18" s="4" customFormat="1" ht="91.5" customHeight="1" x14ac:dyDescent="0.25">
      <c r="B8" s="24">
        <v>42265</v>
      </c>
      <c r="C8" s="24" t="s">
        <v>2351</v>
      </c>
      <c r="D8" s="25" t="s">
        <v>2877</v>
      </c>
      <c r="E8" s="25" t="s">
        <v>2878</v>
      </c>
      <c r="F8" s="25" t="s">
        <v>2879</v>
      </c>
      <c r="G8" s="25" t="s">
        <v>2880</v>
      </c>
      <c r="H8" s="26" t="s">
        <v>2881</v>
      </c>
      <c r="I8" s="25" t="s">
        <v>19</v>
      </c>
      <c r="J8" s="32">
        <v>42530</v>
      </c>
      <c r="K8" s="32">
        <v>45.140799999999999</v>
      </c>
      <c r="L8" s="33">
        <f t="shared" ref="L8:L28" si="0">+J8/K8</f>
        <v>942.16318718321349</v>
      </c>
      <c r="M8" s="25">
        <v>120</v>
      </c>
      <c r="N8" s="34">
        <f>IF(AND(J8&lt;&gt;0,M8&lt;&gt;0),J8/M8,0)</f>
        <v>354.41666666666669</v>
      </c>
      <c r="O8" s="35">
        <f ca="1">IF(B8&lt;&gt;0,(ROUND((NOW()-B8)/30,0)),0)</f>
        <v>101</v>
      </c>
      <c r="P8" s="36">
        <f ca="1">IF(OR(J8=0,M8=0,O8=0),0,J8-(N8*O8))</f>
        <v>6733.9166666666642</v>
      </c>
      <c r="Q8" s="36">
        <f ca="1">IF(P8&lt;1,1,P8)</f>
        <v>6733.9166666666642</v>
      </c>
      <c r="R8" s="634" t="s">
        <v>1328</v>
      </c>
    </row>
    <row r="9" spans="2:18" s="4" customFormat="1" ht="33" customHeight="1" x14ac:dyDescent="0.25">
      <c r="B9" s="24">
        <v>42275</v>
      </c>
      <c r="C9" s="24" t="s">
        <v>2351</v>
      </c>
      <c r="D9" s="25" t="s">
        <v>2882</v>
      </c>
      <c r="E9" s="25" t="s">
        <v>2883</v>
      </c>
      <c r="F9" s="25" t="s">
        <v>1169</v>
      </c>
      <c r="G9" s="25" t="s">
        <v>2884</v>
      </c>
      <c r="H9" s="26" t="s">
        <v>2885</v>
      </c>
      <c r="I9" s="25" t="s">
        <v>19</v>
      </c>
      <c r="J9" s="32">
        <v>25224.41</v>
      </c>
      <c r="K9" s="32">
        <v>45.1723</v>
      </c>
      <c r="L9" s="33">
        <f t="shared" si="0"/>
        <v>558.40437613316124</v>
      </c>
      <c r="M9" s="25">
        <v>120</v>
      </c>
      <c r="N9" s="34">
        <f>IF(AND(J9&lt;&gt;0,M9&lt;&gt;0),J9/M9,0)</f>
        <v>210.20341666666667</v>
      </c>
      <c r="O9" s="35">
        <f ca="1">IF(B9&lt;&gt;0,(ROUND((NOW()-B9)/30,0)),0)</f>
        <v>101</v>
      </c>
      <c r="P9" s="36">
        <f t="shared" ref="P9:P72" ca="1" si="1">IF(OR(J9=0,M9=0,O9=0),0,J9-(N9*O9))</f>
        <v>3993.8649166666655</v>
      </c>
      <c r="Q9" s="36">
        <f t="shared" ref="Q9:Q67" ca="1" si="2">IF(P9&lt;1,1,P9)</f>
        <v>3993.8649166666655</v>
      </c>
      <c r="R9" s="634" t="s">
        <v>1171</v>
      </c>
    </row>
    <row r="10" spans="2:18" s="4" customFormat="1" ht="51.75" customHeight="1" x14ac:dyDescent="0.25">
      <c r="B10" s="24">
        <v>42275</v>
      </c>
      <c r="C10" s="24" t="s">
        <v>2351</v>
      </c>
      <c r="D10" s="25" t="s">
        <v>2886</v>
      </c>
      <c r="E10" s="25" t="s">
        <v>2887</v>
      </c>
      <c r="F10" s="25" t="s">
        <v>2888</v>
      </c>
      <c r="G10" s="25" t="s">
        <v>2889</v>
      </c>
      <c r="H10" s="25" t="s">
        <v>2890</v>
      </c>
      <c r="I10" s="25" t="s">
        <v>19</v>
      </c>
      <c r="J10" s="32">
        <v>27376</v>
      </c>
      <c r="K10" s="32">
        <v>45.1723</v>
      </c>
      <c r="L10" s="33">
        <f t="shared" si="0"/>
        <v>606.03511443960122</v>
      </c>
      <c r="M10" s="25">
        <v>120</v>
      </c>
      <c r="N10" s="34">
        <f t="shared" ref="N10:N28" si="3">IF(AND(J10&lt;&gt;0,M10&lt;&gt;0),J10/M10,0)</f>
        <v>228.13333333333333</v>
      </c>
      <c r="O10" s="35">
        <f t="shared" ref="O10:O28" ca="1" si="4">IF(B10&lt;&gt;0,(ROUND((NOW()-B10)/30,0)),0)</f>
        <v>101</v>
      </c>
      <c r="P10" s="36">
        <f t="shared" ca="1" si="1"/>
        <v>4334.5333333333328</v>
      </c>
      <c r="Q10" s="36">
        <f t="shared" ca="1" si="2"/>
        <v>4334.5333333333328</v>
      </c>
      <c r="R10" s="634" t="s">
        <v>2891</v>
      </c>
    </row>
    <row r="11" spans="2:18" s="4" customFormat="1" ht="52.5" customHeight="1" x14ac:dyDescent="0.25">
      <c r="B11" s="24">
        <v>42277</v>
      </c>
      <c r="C11" s="24" t="s">
        <v>2351</v>
      </c>
      <c r="D11" s="25" t="s">
        <v>2892</v>
      </c>
      <c r="E11" s="25" t="s">
        <v>2893</v>
      </c>
      <c r="F11" s="25" t="s">
        <v>2894</v>
      </c>
      <c r="G11" s="25" t="s">
        <v>28</v>
      </c>
      <c r="H11" s="25" t="s">
        <v>2895</v>
      </c>
      <c r="I11" s="25" t="s">
        <v>19</v>
      </c>
      <c r="J11" s="32">
        <f>7650+1377</f>
        <v>9027</v>
      </c>
      <c r="K11" s="32">
        <v>45.173999999999999</v>
      </c>
      <c r="L11" s="33">
        <f t="shared" si="0"/>
        <v>199.82733430734493</v>
      </c>
      <c r="M11" s="25">
        <v>120</v>
      </c>
      <c r="N11" s="34">
        <f t="shared" si="3"/>
        <v>75.224999999999994</v>
      </c>
      <c r="O11" s="35">
        <f t="shared" ca="1" si="4"/>
        <v>101</v>
      </c>
      <c r="P11" s="36">
        <f t="shared" ca="1" si="1"/>
        <v>1429.2750000000005</v>
      </c>
      <c r="Q11" s="36">
        <f t="shared" ca="1" si="2"/>
        <v>1429.2750000000005</v>
      </c>
      <c r="R11" s="634" t="s">
        <v>2663</v>
      </c>
    </row>
    <row r="12" spans="2:18" s="4" customFormat="1" ht="74.25" customHeight="1" x14ac:dyDescent="0.25">
      <c r="B12" s="24">
        <v>42277</v>
      </c>
      <c r="C12" s="24" t="s">
        <v>2351</v>
      </c>
      <c r="D12" s="25" t="s">
        <v>2892</v>
      </c>
      <c r="E12" s="25" t="s">
        <v>2896</v>
      </c>
      <c r="F12" s="25" t="s">
        <v>2897</v>
      </c>
      <c r="G12" s="25" t="s">
        <v>28</v>
      </c>
      <c r="H12" s="25" t="s">
        <v>2898</v>
      </c>
      <c r="I12" s="25" t="s">
        <v>19</v>
      </c>
      <c r="J12" s="32">
        <f>33220+5979.6</f>
        <v>39199.599999999999</v>
      </c>
      <c r="K12" s="32">
        <v>45.173999999999999</v>
      </c>
      <c r="L12" s="33">
        <f t="shared" si="0"/>
        <v>867.74693407712402</v>
      </c>
      <c r="M12" s="25">
        <v>120</v>
      </c>
      <c r="N12" s="34">
        <f t="shared" si="3"/>
        <v>326.6633333333333</v>
      </c>
      <c r="O12" s="35">
        <f t="shared" ca="1" si="4"/>
        <v>101</v>
      </c>
      <c r="P12" s="36">
        <f t="shared" ca="1" si="1"/>
        <v>6206.6033333333326</v>
      </c>
      <c r="Q12" s="36">
        <f t="shared" ca="1" si="2"/>
        <v>6206.6033333333326</v>
      </c>
      <c r="R12" s="634" t="s">
        <v>2663</v>
      </c>
    </row>
    <row r="13" spans="2:18" s="4" customFormat="1" ht="39" customHeight="1" x14ac:dyDescent="0.25">
      <c r="B13" s="24">
        <v>42277</v>
      </c>
      <c r="C13" s="24" t="s">
        <v>2351</v>
      </c>
      <c r="D13" s="25" t="s">
        <v>2892</v>
      </c>
      <c r="E13" s="25" t="s">
        <v>2900</v>
      </c>
      <c r="F13" s="25" t="s">
        <v>2899</v>
      </c>
      <c r="G13" s="25" t="s">
        <v>28</v>
      </c>
      <c r="H13" s="25" t="s">
        <v>2901</v>
      </c>
      <c r="I13" s="25" t="s">
        <v>19</v>
      </c>
      <c r="J13" s="32">
        <f>8883+1598.94</f>
        <v>10481.94</v>
      </c>
      <c r="K13" s="32">
        <v>45.173999999999999</v>
      </c>
      <c r="L13" s="33">
        <f t="shared" si="0"/>
        <v>232.03479877805819</v>
      </c>
      <c r="M13" s="25">
        <v>120</v>
      </c>
      <c r="N13" s="34">
        <f t="shared" si="3"/>
        <v>87.349500000000006</v>
      </c>
      <c r="O13" s="35">
        <f t="shared" ca="1" si="4"/>
        <v>101</v>
      </c>
      <c r="P13" s="36">
        <f t="shared" ca="1" si="1"/>
        <v>1659.6404999999995</v>
      </c>
      <c r="Q13" s="36">
        <f t="shared" ca="1" si="2"/>
        <v>1659.6404999999995</v>
      </c>
      <c r="R13" s="634" t="s">
        <v>2663</v>
      </c>
    </row>
    <row r="14" spans="2:18" s="4" customFormat="1" ht="92.25" customHeight="1" x14ac:dyDescent="0.25">
      <c r="B14" s="24">
        <v>42277</v>
      </c>
      <c r="C14" s="24" t="s">
        <v>2351</v>
      </c>
      <c r="D14" s="25" t="s">
        <v>2902</v>
      </c>
      <c r="E14" s="25" t="s">
        <v>2903</v>
      </c>
      <c r="F14" s="25" t="s">
        <v>2904</v>
      </c>
      <c r="G14" s="25" t="s">
        <v>2905</v>
      </c>
      <c r="H14" s="26" t="s">
        <v>60</v>
      </c>
      <c r="I14" s="25" t="s">
        <v>19</v>
      </c>
      <c r="J14" s="32">
        <f>103840+47790</f>
        <v>151630</v>
      </c>
      <c r="K14" s="32">
        <v>45.173999999999999</v>
      </c>
      <c r="L14" s="33">
        <f t="shared" si="0"/>
        <v>3356.5767919599771</v>
      </c>
      <c r="M14" s="25">
        <v>120</v>
      </c>
      <c r="N14" s="34">
        <f t="shared" si="3"/>
        <v>1263.5833333333333</v>
      </c>
      <c r="O14" s="35">
        <f t="shared" ca="1" si="4"/>
        <v>101</v>
      </c>
      <c r="P14" s="36">
        <f t="shared" ca="1" si="1"/>
        <v>24008.083333333343</v>
      </c>
      <c r="Q14" s="36">
        <f t="shared" ca="1" si="2"/>
        <v>24008.083333333343</v>
      </c>
      <c r="R14" s="634" t="s">
        <v>2906</v>
      </c>
    </row>
    <row r="15" spans="2:18" s="4" customFormat="1" ht="50.25" customHeight="1" x14ac:dyDescent="0.25">
      <c r="B15" s="24">
        <v>42277</v>
      </c>
      <c r="C15" s="24" t="s">
        <v>2351</v>
      </c>
      <c r="D15" s="25" t="s">
        <v>2902</v>
      </c>
      <c r="E15" s="25" t="s">
        <v>2907</v>
      </c>
      <c r="F15" s="25" t="s">
        <v>2908</v>
      </c>
      <c r="G15" s="25" t="s">
        <v>28</v>
      </c>
      <c r="H15" s="26" t="s">
        <v>60</v>
      </c>
      <c r="I15" s="25" t="s">
        <v>19</v>
      </c>
      <c r="J15" s="32">
        <v>172638.72</v>
      </c>
      <c r="K15" s="32">
        <v>45.173999999999999</v>
      </c>
      <c r="L15" s="33">
        <f t="shared" si="0"/>
        <v>3821.6389958825876</v>
      </c>
      <c r="M15" s="25">
        <v>120</v>
      </c>
      <c r="N15" s="34">
        <f t="shared" si="3"/>
        <v>1438.6559999999999</v>
      </c>
      <c r="O15" s="35">
        <f t="shared" ca="1" si="4"/>
        <v>101</v>
      </c>
      <c r="P15" s="36">
        <f t="shared" ca="1" si="1"/>
        <v>27334.464000000007</v>
      </c>
      <c r="Q15" s="36">
        <f t="shared" ca="1" si="2"/>
        <v>27334.464000000007</v>
      </c>
      <c r="R15" s="634" t="s">
        <v>2906</v>
      </c>
    </row>
    <row r="16" spans="2:18" s="4" customFormat="1" ht="50.25" customHeight="1" x14ac:dyDescent="0.25">
      <c r="B16" s="24">
        <v>42277</v>
      </c>
      <c r="C16" s="24" t="s">
        <v>2351</v>
      </c>
      <c r="D16" s="25" t="s">
        <v>2902</v>
      </c>
      <c r="E16" s="25" t="s">
        <v>2909</v>
      </c>
      <c r="F16" s="25" t="s">
        <v>2910</v>
      </c>
      <c r="G16" s="25" t="s">
        <v>28</v>
      </c>
      <c r="H16" s="26" t="s">
        <v>60</v>
      </c>
      <c r="I16" s="25" t="s">
        <v>19</v>
      </c>
      <c r="J16" s="32">
        <v>236118</v>
      </c>
      <c r="K16" s="32">
        <v>45.173999999999999</v>
      </c>
      <c r="L16" s="33">
        <f t="shared" si="0"/>
        <v>5226.8561561960423</v>
      </c>
      <c r="M16" s="25">
        <v>120</v>
      </c>
      <c r="N16" s="34">
        <f t="shared" si="3"/>
        <v>1967.65</v>
      </c>
      <c r="O16" s="35">
        <f t="shared" ca="1" si="4"/>
        <v>101</v>
      </c>
      <c r="P16" s="36">
        <f t="shared" ca="1" si="1"/>
        <v>37385.349999999977</v>
      </c>
      <c r="Q16" s="36">
        <f t="shared" ca="1" si="2"/>
        <v>37385.349999999977</v>
      </c>
      <c r="R16" s="634" t="s">
        <v>2906</v>
      </c>
    </row>
    <row r="17" spans="2:18" s="4" customFormat="1" ht="50.25" customHeight="1" x14ac:dyDescent="0.25">
      <c r="B17" s="24">
        <v>42341</v>
      </c>
      <c r="C17" s="24" t="s">
        <v>2351</v>
      </c>
      <c r="D17" s="25" t="s">
        <v>2911</v>
      </c>
      <c r="E17" s="25" t="s">
        <v>2912</v>
      </c>
      <c r="F17" s="25" t="s">
        <v>2913</v>
      </c>
      <c r="G17" s="25" t="s">
        <v>2914</v>
      </c>
      <c r="H17" s="26" t="s">
        <v>2915</v>
      </c>
      <c r="I17" s="25" t="s">
        <v>19</v>
      </c>
      <c r="J17" s="32">
        <f>37944.92+6830.09</f>
        <v>44775.009999999995</v>
      </c>
      <c r="K17" s="32">
        <v>45.3416</v>
      </c>
      <c r="L17" s="33">
        <f t="shared" si="0"/>
        <v>987.50396986431872</v>
      </c>
      <c r="M17" s="25">
        <v>120</v>
      </c>
      <c r="N17" s="34">
        <f t="shared" si="3"/>
        <v>373.12508333333329</v>
      </c>
      <c r="O17" s="35">
        <f t="shared" ca="1" si="4"/>
        <v>99</v>
      </c>
      <c r="P17" s="36">
        <f t="shared" ca="1" si="1"/>
        <v>7835.6267499999958</v>
      </c>
      <c r="Q17" s="36">
        <f t="shared" ca="1" si="2"/>
        <v>7835.6267499999958</v>
      </c>
      <c r="R17" s="634" t="s">
        <v>1328</v>
      </c>
    </row>
    <row r="18" spans="2:18" s="4" customFormat="1" ht="39.75" customHeight="1" x14ac:dyDescent="0.25">
      <c r="B18" s="24">
        <v>42341</v>
      </c>
      <c r="C18" s="24" t="s">
        <v>2351</v>
      </c>
      <c r="D18" s="25" t="s">
        <v>2911</v>
      </c>
      <c r="E18" s="25" t="s">
        <v>2916</v>
      </c>
      <c r="F18" s="25" t="s">
        <v>2913</v>
      </c>
      <c r="G18" s="25" t="s">
        <v>2917</v>
      </c>
      <c r="H18" s="26" t="s">
        <v>2915</v>
      </c>
      <c r="I18" s="25" t="s">
        <v>19</v>
      </c>
      <c r="J18" s="32">
        <f>37944.92+6830.08</f>
        <v>44775</v>
      </c>
      <c r="K18" s="32">
        <v>45.3416</v>
      </c>
      <c r="L18" s="33">
        <f t="shared" si="0"/>
        <v>987.5037493163012</v>
      </c>
      <c r="M18" s="25">
        <v>120</v>
      </c>
      <c r="N18" s="34">
        <f t="shared" si="3"/>
        <v>373.125</v>
      </c>
      <c r="O18" s="35">
        <f t="shared" ca="1" si="4"/>
        <v>99</v>
      </c>
      <c r="P18" s="36">
        <f t="shared" ca="1" si="1"/>
        <v>7835.625</v>
      </c>
      <c r="Q18" s="36">
        <f t="shared" ca="1" si="2"/>
        <v>7835.625</v>
      </c>
      <c r="R18" s="634" t="s">
        <v>1328</v>
      </c>
    </row>
    <row r="19" spans="2:18" s="4" customFormat="1" ht="45.75" customHeight="1" x14ac:dyDescent="0.25">
      <c r="B19" s="24">
        <v>42341</v>
      </c>
      <c r="C19" s="24" t="s">
        <v>2351</v>
      </c>
      <c r="D19" s="25" t="s">
        <v>2918</v>
      </c>
      <c r="E19" s="25" t="s">
        <v>2919</v>
      </c>
      <c r="F19" s="25" t="s">
        <v>2920</v>
      </c>
      <c r="G19" s="25" t="s">
        <v>2921</v>
      </c>
      <c r="H19" s="26" t="s">
        <v>2922</v>
      </c>
      <c r="I19" s="25" t="s">
        <v>19</v>
      </c>
      <c r="J19" s="32">
        <v>59100.22</v>
      </c>
      <c r="K19" s="32">
        <v>45.3416</v>
      </c>
      <c r="L19" s="33">
        <f t="shared" si="0"/>
        <v>1303.443636748593</v>
      </c>
      <c r="M19" s="25">
        <v>120</v>
      </c>
      <c r="N19" s="34">
        <f t="shared" si="3"/>
        <v>492.50183333333337</v>
      </c>
      <c r="O19" s="35">
        <f t="shared" ca="1" si="4"/>
        <v>99</v>
      </c>
      <c r="P19" s="36">
        <f t="shared" ca="1" si="1"/>
        <v>10342.538499999995</v>
      </c>
      <c r="Q19" s="36">
        <f t="shared" ca="1" si="2"/>
        <v>10342.538499999995</v>
      </c>
      <c r="R19" s="634" t="s">
        <v>61</v>
      </c>
    </row>
    <row r="20" spans="2:18" s="4" customFormat="1" ht="45" customHeight="1" x14ac:dyDescent="0.25">
      <c r="B20" s="24">
        <v>42342</v>
      </c>
      <c r="C20" s="24" t="s">
        <v>2351</v>
      </c>
      <c r="D20" s="25" t="s">
        <v>2923</v>
      </c>
      <c r="E20" s="25" t="s">
        <v>2925</v>
      </c>
      <c r="F20" s="25" t="s">
        <v>2926</v>
      </c>
      <c r="G20" s="25" t="s">
        <v>2927</v>
      </c>
      <c r="H20" s="26" t="s">
        <v>60</v>
      </c>
      <c r="I20" s="25" t="s">
        <v>19</v>
      </c>
      <c r="J20" s="32">
        <v>54412.18</v>
      </c>
      <c r="K20" s="32">
        <v>45.346899999999998</v>
      </c>
      <c r="L20" s="33">
        <f t="shared" si="0"/>
        <v>1199.9095858812841</v>
      </c>
      <c r="M20" s="25">
        <v>120</v>
      </c>
      <c r="N20" s="34">
        <f t="shared" si="3"/>
        <v>453.43483333333336</v>
      </c>
      <c r="O20" s="35">
        <f t="shared" ca="1" si="4"/>
        <v>99</v>
      </c>
      <c r="P20" s="36">
        <f t="shared" ca="1" si="1"/>
        <v>9522.1314999999959</v>
      </c>
      <c r="Q20" s="36">
        <f t="shared" ca="1" si="2"/>
        <v>9522.1314999999959</v>
      </c>
      <c r="R20" s="634" t="s">
        <v>2924</v>
      </c>
    </row>
    <row r="21" spans="2:18" s="4" customFormat="1" ht="41.25" customHeight="1" x14ac:dyDescent="0.25">
      <c r="B21" s="24">
        <v>42342</v>
      </c>
      <c r="C21" s="24" t="s">
        <v>2351</v>
      </c>
      <c r="D21" s="25" t="s">
        <v>2928</v>
      </c>
      <c r="E21" s="25" t="s">
        <v>2929</v>
      </c>
      <c r="F21" s="25" t="s">
        <v>2930</v>
      </c>
      <c r="G21" s="25" t="s">
        <v>2931</v>
      </c>
      <c r="H21" s="25" t="s">
        <v>2932</v>
      </c>
      <c r="I21" s="25" t="s">
        <v>19</v>
      </c>
      <c r="J21" s="32">
        <v>10897.6</v>
      </c>
      <c r="K21" s="32">
        <v>45.346899999999998</v>
      </c>
      <c r="L21" s="33">
        <f t="shared" si="0"/>
        <v>240.31631710216135</v>
      </c>
      <c r="M21" s="25">
        <v>120</v>
      </c>
      <c r="N21" s="34">
        <f t="shared" si="3"/>
        <v>90.813333333333333</v>
      </c>
      <c r="O21" s="35">
        <f t="shared" ca="1" si="4"/>
        <v>99</v>
      </c>
      <c r="P21" s="36">
        <f t="shared" ca="1" si="1"/>
        <v>1907.08</v>
      </c>
      <c r="Q21" s="36">
        <f t="shared" ca="1" si="2"/>
        <v>1907.08</v>
      </c>
      <c r="R21" s="634" t="s">
        <v>2933</v>
      </c>
    </row>
    <row r="22" spans="2:18" s="4" customFormat="1" ht="42" customHeight="1" x14ac:dyDescent="0.25">
      <c r="B22" s="24">
        <v>42359</v>
      </c>
      <c r="C22" s="24" t="s">
        <v>2351</v>
      </c>
      <c r="D22" s="25" t="s">
        <v>2934</v>
      </c>
      <c r="E22" s="25" t="s">
        <v>2935</v>
      </c>
      <c r="F22" s="25" t="s">
        <v>2673</v>
      </c>
      <c r="G22" s="25" t="s">
        <v>28</v>
      </c>
      <c r="H22" s="25" t="s">
        <v>204</v>
      </c>
      <c r="I22" s="25" t="s">
        <v>19</v>
      </c>
      <c r="J22" s="32">
        <f>9950+1791</f>
        <v>11741</v>
      </c>
      <c r="K22" s="32">
        <v>45.481699999999996</v>
      </c>
      <c r="L22" s="33">
        <f t="shared" si="0"/>
        <v>258.14778251472575</v>
      </c>
      <c r="M22" s="25">
        <v>120</v>
      </c>
      <c r="N22" s="34">
        <f t="shared" si="3"/>
        <v>97.841666666666669</v>
      </c>
      <c r="O22" s="35">
        <f t="shared" ca="1" si="4"/>
        <v>98</v>
      </c>
      <c r="P22" s="36">
        <f t="shared" ca="1" si="1"/>
        <v>2152.5166666666664</v>
      </c>
      <c r="Q22" s="36">
        <f t="shared" ca="1" si="2"/>
        <v>2152.5166666666664</v>
      </c>
      <c r="R22" s="634" t="s">
        <v>2663</v>
      </c>
    </row>
    <row r="23" spans="2:18" s="4" customFormat="1" ht="39.75" customHeight="1" x14ac:dyDescent="0.25">
      <c r="B23" s="24">
        <v>42359</v>
      </c>
      <c r="C23" s="24" t="s">
        <v>2351</v>
      </c>
      <c r="D23" s="25" t="s">
        <v>2934</v>
      </c>
      <c r="E23" s="25" t="s">
        <v>2937</v>
      </c>
      <c r="F23" s="25" t="s">
        <v>2938</v>
      </c>
      <c r="G23" s="25" t="s">
        <v>28</v>
      </c>
      <c r="H23" s="26" t="s">
        <v>2936</v>
      </c>
      <c r="I23" s="25" t="s">
        <v>19</v>
      </c>
      <c r="J23" s="32">
        <f>3209+577.62</f>
        <v>3786.62</v>
      </c>
      <c r="K23" s="32">
        <v>45.481699999999996</v>
      </c>
      <c r="L23" s="33">
        <f t="shared" si="0"/>
        <v>83.255902923593453</v>
      </c>
      <c r="M23" s="25">
        <v>120</v>
      </c>
      <c r="N23" s="34">
        <f t="shared" si="3"/>
        <v>31.555166666666665</v>
      </c>
      <c r="O23" s="35">
        <f t="shared" ca="1" si="4"/>
        <v>98</v>
      </c>
      <c r="P23" s="36">
        <f t="shared" ca="1" si="1"/>
        <v>694.21366666666654</v>
      </c>
      <c r="Q23" s="36">
        <f t="shared" ca="1" si="2"/>
        <v>694.21366666666654</v>
      </c>
      <c r="R23" s="634" t="s">
        <v>2663</v>
      </c>
    </row>
    <row r="24" spans="2:18" s="4" customFormat="1" ht="40.5" customHeight="1" x14ac:dyDescent="0.25">
      <c r="B24" s="24">
        <v>42359</v>
      </c>
      <c r="C24" s="24" t="s">
        <v>2351</v>
      </c>
      <c r="D24" s="25" t="s">
        <v>2934</v>
      </c>
      <c r="E24" s="25" t="s">
        <v>2939</v>
      </c>
      <c r="F24" s="25" t="s">
        <v>2938</v>
      </c>
      <c r="G24" s="25" t="s">
        <v>28</v>
      </c>
      <c r="H24" s="26" t="s">
        <v>2936</v>
      </c>
      <c r="I24" s="25" t="s">
        <v>19</v>
      </c>
      <c r="J24" s="32">
        <f>3209+577.62</f>
        <v>3786.62</v>
      </c>
      <c r="K24" s="32">
        <v>45.481699999999996</v>
      </c>
      <c r="L24" s="33">
        <f t="shared" si="0"/>
        <v>83.255902923593453</v>
      </c>
      <c r="M24" s="25">
        <v>120</v>
      </c>
      <c r="N24" s="34">
        <f t="shared" si="3"/>
        <v>31.555166666666665</v>
      </c>
      <c r="O24" s="35">
        <f t="shared" ca="1" si="4"/>
        <v>98</v>
      </c>
      <c r="P24" s="36">
        <f t="shared" ca="1" si="1"/>
        <v>694.21366666666654</v>
      </c>
      <c r="Q24" s="36">
        <f t="shared" ca="1" si="2"/>
        <v>694.21366666666654</v>
      </c>
      <c r="R24" s="634" t="s">
        <v>2663</v>
      </c>
    </row>
    <row r="25" spans="2:18" s="4" customFormat="1" ht="48.75" customHeight="1" x14ac:dyDescent="0.25">
      <c r="B25" s="24">
        <v>42359</v>
      </c>
      <c r="C25" s="24" t="s">
        <v>2351</v>
      </c>
      <c r="D25" s="25" t="s">
        <v>2934</v>
      </c>
      <c r="E25" s="25" t="s">
        <v>2940</v>
      </c>
      <c r="F25" s="25" t="s">
        <v>2941</v>
      </c>
      <c r="G25" s="25" t="s">
        <v>28</v>
      </c>
      <c r="H25" s="25" t="s">
        <v>2942</v>
      </c>
      <c r="I25" s="25" t="s">
        <v>19</v>
      </c>
      <c r="J25" s="32">
        <f>4760+856.8</f>
        <v>5616.8</v>
      </c>
      <c r="K25" s="32">
        <v>45.481699999999996</v>
      </c>
      <c r="L25" s="33">
        <f t="shared" si="0"/>
        <v>123.49582359498437</v>
      </c>
      <c r="M25" s="25">
        <v>120</v>
      </c>
      <c r="N25" s="34">
        <f t="shared" si="3"/>
        <v>46.806666666666665</v>
      </c>
      <c r="O25" s="35">
        <f t="shared" ca="1" si="4"/>
        <v>98</v>
      </c>
      <c r="P25" s="36">
        <f t="shared" ca="1" si="1"/>
        <v>1029.7466666666669</v>
      </c>
      <c r="Q25" s="36">
        <f t="shared" ca="1" si="2"/>
        <v>1029.7466666666669</v>
      </c>
      <c r="R25" s="634" t="s">
        <v>2663</v>
      </c>
    </row>
    <row r="26" spans="2:18" s="5" customFormat="1" ht="63.75" x14ac:dyDescent="0.25">
      <c r="B26" s="27">
        <v>42949</v>
      </c>
      <c r="C26" s="24" t="s">
        <v>2351</v>
      </c>
      <c r="D26" s="26" t="s">
        <v>2943</v>
      </c>
      <c r="E26" s="26" t="s">
        <v>2944</v>
      </c>
      <c r="F26" s="26" t="s">
        <v>2945</v>
      </c>
      <c r="G26" s="26" t="s">
        <v>2946</v>
      </c>
      <c r="H26" s="25" t="s">
        <v>2947</v>
      </c>
      <c r="I26" s="26" t="s">
        <v>19</v>
      </c>
      <c r="J26" s="32">
        <f>9860+1774.8</f>
        <v>11634.8</v>
      </c>
      <c r="K26" s="32">
        <v>47.436900000000001</v>
      </c>
      <c r="L26" s="33">
        <f t="shared" si="0"/>
        <v>245.26897836915984</v>
      </c>
      <c r="M26" s="26">
        <v>60</v>
      </c>
      <c r="N26" s="37">
        <f t="shared" si="3"/>
        <v>193.91333333333333</v>
      </c>
      <c r="O26" s="38">
        <f t="shared" ca="1" si="4"/>
        <v>78</v>
      </c>
      <c r="P26" s="36">
        <f t="shared" ca="1" si="1"/>
        <v>-3490.4400000000005</v>
      </c>
      <c r="Q26" s="36">
        <f t="shared" ca="1" si="2"/>
        <v>1</v>
      </c>
      <c r="R26" s="50" t="s">
        <v>2663</v>
      </c>
    </row>
    <row r="27" spans="2:18" s="5" customFormat="1" ht="39" customHeight="1" x14ac:dyDescent="0.25">
      <c r="B27" s="27">
        <v>42949</v>
      </c>
      <c r="C27" s="24" t="s">
        <v>2351</v>
      </c>
      <c r="D27" s="26" t="s">
        <v>2948</v>
      </c>
      <c r="E27" s="26" t="s">
        <v>2949</v>
      </c>
      <c r="F27" s="26" t="s">
        <v>2950</v>
      </c>
      <c r="G27" s="26" t="s">
        <v>2951</v>
      </c>
      <c r="H27" s="25" t="s">
        <v>2901</v>
      </c>
      <c r="I27" s="26" t="s">
        <v>19</v>
      </c>
      <c r="J27" s="32">
        <v>29252.85</v>
      </c>
      <c r="K27" s="32">
        <v>47.436900000000001</v>
      </c>
      <c r="L27" s="33">
        <f t="shared" si="0"/>
        <v>616.66866932704283</v>
      </c>
      <c r="M27" s="26">
        <v>36</v>
      </c>
      <c r="N27" s="37">
        <f t="shared" si="3"/>
        <v>812.57916666666665</v>
      </c>
      <c r="O27" s="38">
        <f t="shared" ca="1" si="4"/>
        <v>78</v>
      </c>
      <c r="P27" s="36">
        <f t="shared" ca="1" si="1"/>
        <v>-34128.324999999997</v>
      </c>
      <c r="Q27" s="36">
        <f t="shared" ca="1" si="2"/>
        <v>1</v>
      </c>
      <c r="R27" s="50" t="s">
        <v>2756</v>
      </c>
    </row>
    <row r="28" spans="2:18" s="5" customFormat="1" ht="161.25" customHeight="1" x14ac:dyDescent="0.25">
      <c r="B28" s="27">
        <v>42972</v>
      </c>
      <c r="C28" s="24" t="s">
        <v>2351</v>
      </c>
      <c r="D28" s="26" t="s">
        <v>2952</v>
      </c>
      <c r="E28" s="26" t="s">
        <v>2953</v>
      </c>
      <c r="F28" s="26" t="s">
        <v>2954</v>
      </c>
      <c r="G28" s="26">
        <v>2541936</v>
      </c>
      <c r="H28" s="26" t="s">
        <v>2955</v>
      </c>
      <c r="I28" s="26" t="s">
        <v>19</v>
      </c>
      <c r="J28" s="32">
        <f>55910+5920+2670+4392+9265+14068.26+2040</f>
        <v>94265.26</v>
      </c>
      <c r="K28" s="32">
        <v>47.500900000000001</v>
      </c>
      <c r="L28" s="33">
        <f t="shared" si="0"/>
        <v>1984.4941885311646</v>
      </c>
      <c r="M28" s="26">
        <v>120</v>
      </c>
      <c r="N28" s="37">
        <f t="shared" si="3"/>
        <v>785.54383333333328</v>
      </c>
      <c r="O28" s="38">
        <f t="shared" ca="1" si="4"/>
        <v>78</v>
      </c>
      <c r="P28" s="36">
        <f t="shared" ca="1" si="1"/>
        <v>32992.841</v>
      </c>
      <c r="Q28" s="36">
        <f t="shared" ca="1" si="2"/>
        <v>32992.841</v>
      </c>
      <c r="R28" s="50" t="s">
        <v>2713</v>
      </c>
    </row>
    <row r="29" spans="2:18" s="5" customFormat="1" ht="54" customHeight="1" x14ac:dyDescent="0.25">
      <c r="B29" s="27">
        <v>42972</v>
      </c>
      <c r="C29" s="24" t="s">
        <v>2351</v>
      </c>
      <c r="D29" s="26" t="s">
        <v>2952</v>
      </c>
      <c r="E29" s="26" t="s">
        <v>2956</v>
      </c>
      <c r="F29" s="26" t="s">
        <v>2957</v>
      </c>
      <c r="G29" s="26">
        <v>97737</v>
      </c>
      <c r="H29" s="26" t="s">
        <v>2955</v>
      </c>
      <c r="I29" s="26" t="s">
        <v>19</v>
      </c>
      <c r="J29" s="32">
        <f>43200+7776</f>
        <v>50976</v>
      </c>
      <c r="K29" s="32">
        <v>47.500900000000001</v>
      </c>
      <c r="L29" s="33">
        <f t="shared" ref="L29:L87" si="5">+J29/K29</f>
        <v>1073.1586138367904</v>
      </c>
      <c r="M29" s="26">
        <v>120</v>
      </c>
      <c r="N29" s="37">
        <f t="shared" ref="N29:N87" si="6">IF(AND(J29&lt;&gt;0,M29&lt;&gt;0),J29/M29,0)</f>
        <v>424.8</v>
      </c>
      <c r="O29" s="38">
        <f t="shared" ref="O29:O87" ca="1" si="7">IF(B29&lt;&gt;0,(ROUND((NOW()-B29)/30,0)),0)</f>
        <v>78</v>
      </c>
      <c r="P29" s="36">
        <f t="shared" ca="1" si="1"/>
        <v>17841.599999999999</v>
      </c>
      <c r="Q29" s="36">
        <f t="shared" ca="1" si="2"/>
        <v>17841.599999999999</v>
      </c>
      <c r="R29" s="50" t="s">
        <v>2713</v>
      </c>
    </row>
    <row r="30" spans="2:18" s="5" customFormat="1" ht="51.75" customHeight="1" x14ac:dyDescent="0.25">
      <c r="B30" s="27">
        <v>43004</v>
      </c>
      <c r="C30" s="24" t="s">
        <v>2351</v>
      </c>
      <c r="D30" s="26" t="s">
        <v>2958</v>
      </c>
      <c r="E30" s="26" t="s">
        <v>2959</v>
      </c>
      <c r="F30" s="26" t="s">
        <v>2960</v>
      </c>
      <c r="G30" s="26" t="s">
        <v>2961</v>
      </c>
      <c r="H30" s="26" t="s">
        <v>2898</v>
      </c>
      <c r="I30" s="26" t="s">
        <v>19</v>
      </c>
      <c r="J30" s="32">
        <v>104488.89</v>
      </c>
      <c r="K30" s="32">
        <v>47.602499999999999</v>
      </c>
      <c r="L30" s="33">
        <f t="shared" si="5"/>
        <v>2195.0294627383014</v>
      </c>
      <c r="M30" s="26">
        <v>60</v>
      </c>
      <c r="N30" s="37">
        <f t="shared" si="6"/>
        <v>1741.4815000000001</v>
      </c>
      <c r="O30" s="38">
        <f t="shared" ca="1" si="7"/>
        <v>77</v>
      </c>
      <c r="P30" s="36">
        <f t="shared" ca="1" si="1"/>
        <v>-29605.185500000007</v>
      </c>
      <c r="Q30" s="36">
        <f t="shared" ca="1" si="2"/>
        <v>1</v>
      </c>
      <c r="R30" s="50" t="s">
        <v>2962</v>
      </c>
    </row>
    <row r="31" spans="2:18" s="5" customFormat="1" ht="48.75" customHeight="1" x14ac:dyDescent="0.25">
      <c r="B31" s="27">
        <v>43004</v>
      </c>
      <c r="C31" s="24" t="s">
        <v>2351</v>
      </c>
      <c r="D31" s="26" t="s">
        <v>2958</v>
      </c>
      <c r="E31" s="26" t="s">
        <v>2963</v>
      </c>
      <c r="F31" s="26" t="s">
        <v>2964</v>
      </c>
      <c r="G31" s="26" t="s">
        <v>2965</v>
      </c>
      <c r="H31" s="26" t="s">
        <v>2734</v>
      </c>
      <c r="I31" s="26" t="s">
        <v>19</v>
      </c>
      <c r="J31" s="32">
        <v>58447.13</v>
      </c>
      <c r="K31" s="32">
        <v>47.602499999999999</v>
      </c>
      <c r="L31" s="33">
        <f t="shared" si="5"/>
        <v>1227.8163961976786</v>
      </c>
      <c r="M31" s="26">
        <v>60</v>
      </c>
      <c r="N31" s="37">
        <f t="shared" si="6"/>
        <v>974.11883333333333</v>
      </c>
      <c r="O31" s="38">
        <f t="shared" ca="1" si="7"/>
        <v>77</v>
      </c>
      <c r="P31" s="36">
        <f t="shared" ca="1" si="1"/>
        <v>-16560.020166666662</v>
      </c>
      <c r="Q31" s="36">
        <f t="shared" ca="1" si="2"/>
        <v>1</v>
      </c>
      <c r="R31" s="50" t="s">
        <v>2962</v>
      </c>
    </row>
    <row r="32" spans="2:18" s="5" customFormat="1" ht="50.25" customHeight="1" x14ac:dyDescent="0.25">
      <c r="B32" s="27">
        <v>43004</v>
      </c>
      <c r="C32" s="24" t="s">
        <v>2351</v>
      </c>
      <c r="D32" s="26" t="s">
        <v>2958</v>
      </c>
      <c r="E32" s="26" t="s">
        <v>2966</v>
      </c>
      <c r="F32" s="26" t="s">
        <v>2964</v>
      </c>
      <c r="G32" s="26" t="s">
        <v>2967</v>
      </c>
      <c r="H32" s="26" t="s">
        <v>2968</v>
      </c>
      <c r="I32" s="26" t="s">
        <v>19</v>
      </c>
      <c r="J32" s="32">
        <v>58447.13</v>
      </c>
      <c r="K32" s="32">
        <v>47.602499999999999</v>
      </c>
      <c r="L32" s="33">
        <f t="shared" si="5"/>
        <v>1227.8163961976786</v>
      </c>
      <c r="M32" s="26">
        <v>60</v>
      </c>
      <c r="N32" s="37">
        <f t="shared" si="6"/>
        <v>974.11883333333333</v>
      </c>
      <c r="O32" s="38">
        <f t="shared" ca="1" si="7"/>
        <v>77</v>
      </c>
      <c r="P32" s="36">
        <f t="shared" ca="1" si="1"/>
        <v>-16560.020166666662</v>
      </c>
      <c r="Q32" s="36">
        <f t="shared" ca="1" si="2"/>
        <v>1</v>
      </c>
      <c r="R32" s="50" t="s">
        <v>2962</v>
      </c>
    </row>
    <row r="33" spans="2:18" s="5" customFormat="1" ht="50.25" customHeight="1" x14ac:dyDescent="0.25">
      <c r="B33" s="27">
        <v>43004</v>
      </c>
      <c r="C33" s="24" t="s">
        <v>2351</v>
      </c>
      <c r="D33" s="26" t="s">
        <v>2958</v>
      </c>
      <c r="E33" s="26" t="s">
        <v>2969</v>
      </c>
      <c r="F33" s="26" t="s">
        <v>2964</v>
      </c>
      <c r="G33" s="26" t="s">
        <v>2970</v>
      </c>
      <c r="H33" s="26" t="s">
        <v>2971</v>
      </c>
      <c r="I33" s="26" t="s">
        <v>19</v>
      </c>
      <c r="J33" s="32">
        <v>58447.13</v>
      </c>
      <c r="K33" s="32">
        <v>47.602499999999999</v>
      </c>
      <c r="L33" s="33">
        <f t="shared" si="5"/>
        <v>1227.8163961976786</v>
      </c>
      <c r="M33" s="26">
        <v>60</v>
      </c>
      <c r="N33" s="37">
        <f t="shared" si="6"/>
        <v>974.11883333333333</v>
      </c>
      <c r="O33" s="38">
        <f t="shared" ca="1" si="7"/>
        <v>77</v>
      </c>
      <c r="P33" s="36">
        <f t="shared" ca="1" si="1"/>
        <v>-16560.020166666662</v>
      </c>
      <c r="Q33" s="36">
        <f t="shared" ca="1" si="2"/>
        <v>1</v>
      </c>
      <c r="R33" s="50" t="s">
        <v>2962</v>
      </c>
    </row>
    <row r="34" spans="2:18" s="5" customFormat="1" ht="50.25" customHeight="1" x14ac:dyDescent="0.25">
      <c r="B34" s="27">
        <v>43004</v>
      </c>
      <c r="C34" s="24" t="s">
        <v>2351</v>
      </c>
      <c r="D34" s="26" t="s">
        <v>2958</v>
      </c>
      <c r="E34" s="26" t="s">
        <v>2972</v>
      </c>
      <c r="F34" s="26" t="s">
        <v>2964</v>
      </c>
      <c r="G34" s="26" t="s">
        <v>2973</v>
      </c>
      <c r="H34" s="26" t="s">
        <v>2974</v>
      </c>
      <c r="I34" s="26" t="s">
        <v>19</v>
      </c>
      <c r="J34" s="32">
        <v>58447.13</v>
      </c>
      <c r="K34" s="32">
        <v>47.602499999999999</v>
      </c>
      <c r="L34" s="33">
        <f t="shared" si="5"/>
        <v>1227.8163961976786</v>
      </c>
      <c r="M34" s="26">
        <v>60</v>
      </c>
      <c r="N34" s="37">
        <f t="shared" si="6"/>
        <v>974.11883333333333</v>
      </c>
      <c r="O34" s="38">
        <f t="shared" ca="1" si="7"/>
        <v>77</v>
      </c>
      <c r="P34" s="36">
        <f t="shared" ca="1" si="1"/>
        <v>-16560.020166666662</v>
      </c>
      <c r="Q34" s="36">
        <f t="shared" ca="1" si="2"/>
        <v>1</v>
      </c>
      <c r="R34" s="50" t="s">
        <v>2962</v>
      </c>
    </row>
    <row r="35" spans="2:18" s="5" customFormat="1" ht="51.75" customHeight="1" x14ac:dyDescent="0.25">
      <c r="B35" s="27">
        <v>43004</v>
      </c>
      <c r="C35" s="24" t="s">
        <v>2351</v>
      </c>
      <c r="D35" s="26" t="s">
        <v>2958</v>
      </c>
      <c r="E35" s="26" t="s">
        <v>2975</v>
      </c>
      <c r="F35" s="26" t="s">
        <v>2964</v>
      </c>
      <c r="G35" s="26" t="s">
        <v>2976</v>
      </c>
      <c r="H35" s="26" t="s">
        <v>2977</v>
      </c>
      <c r="I35" s="26" t="s">
        <v>19</v>
      </c>
      <c r="J35" s="32">
        <v>58447.13</v>
      </c>
      <c r="K35" s="32">
        <v>47.602499999999999</v>
      </c>
      <c r="L35" s="33">
        <f t="shared" si="5"/>
        <v>1227.8163961976786</v>
      </c>
      <c r="M35" s="26">
        <v>60</v>
      </c>
      <c r="N35" s="37">
        <f t="shared" si="6"/>
        <v>974.11883333333333</v>
      </c>
      <c r="O35" s="38">
        <f t="shared" ca="1" si="7"/>
        <v>77</v>
      </c>
      <c r="P35" s="36">
        <f t="shared" ca="1" si="1"/>
        <v>-16560.020166666662</v>
      </c>
      <c r="Q35" s="36">
        <f t="shared" ca="1" si="2"/>
        <v>1</v>
      </c>
      <c r="R35" s="50" t="s">
        <v>2962</v>
      </c>
    </row>
    <row r="36" spans="2:18" s="5" customFormat="1" ht="53.25" customHeight="1" x14ac:dyDescent="0.25">
      <c r="B36" s="27">
        <v>43004</v>
      </c>
      <c r="C36" s="24" t="s">
        <v>2351</v>
      </c>
      <c r="D36" s="26" t="s">
        <v>2958</v>
      </c>
      <c r="E36" s="26" t="s">
        <v>2978</v>
      </c>
      <c r="F36" s="26" t="s">
        <v>2964</v>
      </c>
      <c r="G36" s="26" t="s">
        <v>2979</v>
      </c>
      <c r="H36" s="26" t="s">
        <v>2980</v>
      </c>
      <c r="I36" s="26" t="s">
        <v>19</v>
      </c>
      <c r="J36" s="32">
        <v>58447.13</v>
      </c>
      <c r="K36" s="32">
        <v>47.602499999999999</v>
      </c>
      <c r="L36" s="33">
        <f t="shared" si="5"/>
        <v>1227.8163961976786</v>
      </c>
      <c r="M36" s="26">
        <v>60</v>
      </c>
      <c r="N36" s="37">
        <f t="shared" si="6"/>
        <v>974.11883333333333</v>
      </c>
      <c r="O36" s="38">
        <f t="shared" ca="1" si="7"/>
        <v>77</v>
      </c>
      <c r="P36" s="36">
        <f t="shared" ca="1" si="1"/>
        <v>-16560.020166666662</v>
      </c>
      <c r="Q36" s="36">
        <f t="shared" ca="1" si="2"/>
        <v>1</v>
      </c>
      <c r="R36" s="50" t="s">
        <v>2962</v>
      </c>
    </row>
    <row r="37" spans="2:18" s="5" customFormat="1" ht="50.25" customHeight="1" x14ac:dyDescent="0.25">
      <c r="B37" s="27">
        <v>43004</v>
      </c>
      <c r="C37" s="24" t="s">
        <v>2351</v>
      </c>
      <c r="D37" s="26" t="s">
        <v>2958</v>
      </c>
      <c r="E37" s="26" t="s">
        <v>2981</v>
      </c>
      <c r="F37" s="26" t="s">
        <v>2964</v>
      </c>
      <c r="G37" s="26" t="s">
        <v>2982</v>
      </c>
      <c r="H37" s="26" t="s">
        <v>2983</v>
      </c>
      <c r="I37" s="26" t="s">
        <v>19</v>
      </c>
      <c r="J37" s="32">
        <v>58447.13</v>
      </c>
      <c r="K37" s="32">
        <v>47.602499999999999</v>
      </c>
      <c r="L37" s="33">
        <f t="shared" si="5"/>
        <v>1227.8163961976786</v>
      </c>
      <c r="M37" s="26">
        <v>60</v>
      </c>
      <c r="N37" s="37">
        <f t="shared" si="6"/>
        <v>974.11883333333333</v>
      </c>
      <c r="O37" s="38">
        <f t="shared" ca="1" si="7"/>
        <v>77</v>
      </c>
      <c r="P37" s="36">
        <f t="shared" ca="1" si="1"/>
        <v>-16560.020166666662</v>
      </c>
      <c r="Q37" s="36">
        <f t="shared" ca="1" si="2"/>
        <v>1</v>
      </c>
      <c r="R37" s="50" t="s">
        <v>2962</v>
      </c>
    </row>
    <row r="38" spans="2:18" s="5" customFormat="1" ht="54" customHeight="1" x14ac:dyDescent="0.25">
      <c r="B38" s="27">
        <v>43004</v>
      </c>
      <c r="C38" s="24" t="s">
        <v>2351</v>
      </c>
      <c r="D38" s="26" t="s">
        <v>2958</v>
      </c>
      <c r="E38" s="26" t="s">
        <v>2984</v>
      </c>
      <c r="F38" s="26" t="s">
        <v>2964</v>
      </c>
      <c r="G38" s="26" t="s">
        <v>2985</v>
      </c>
      <c r="H38" s="26" t="s">
        <v>2901</v>
      </c>
      <c r="I38" s="26" t="s">
        <v>19</v>
      </c>
      <c r="J38" s="32">
        <v>58447.13</v>
      </c>
      <c r="K38" s="32">
        <v>47.602499999999999</v>
      </c>
      <c r="L38" s="33">
        <f t="shared" si="5"/>
        <v>1227.8163961976786</v>
      </c>
      <c r="M38" s="26">
        <v>60</v>
      </c>
      <c r="N38" s="37">
        <f t="shared" si="6"/>
        <v>974.11883333333333</v>
      </c>
      <c r="O38" s="38">
        <f t="shared" ca="1" si="7"/>
        <v>77</v>
      </c>
      <c r="P38" s="36">
        <f t="shared" ca="1" si="1"/>
        <v>-16560.020166666662</v>
      </c>
      <c r="Q38" s="36">
        <f t="shared" ca="1" si="2"/>
        <v>1</v>
      </c>
      <c r="R38" s="50" t="s">
        <v>2962</v>
      </c>
    </row>
    <row r="39" spans="2:18" s="5" customFormat="1" ht="50.25" customHeight="1" x14ac:dyDescent="0.25">
      <c r="B39" s="27">
        <v>43004</v>
      </c>
      <c r="C39" s="24" t="s">
        <v>2351</v>
      </c>
      <c r="D39" s="26" t="s">
        <v>2958</v>
      </c>
      <c r="E39" s="26" t="s">
        <v>2986</v>
      </c>
      <c r="F39" s="26" t="s">
        <v>2964</v>
      </c>
      <c r="G39" s="26" t="s">
        <v>2987</v>
      </c>
      <c r="H39" s="26" t="s">
        <v>2988</v>
      </c>
      <c r="I39" s="26" t="s">
        <v>19</v>
      </c>
      <c r="J39" s="32">
        <v>58447.13</v>
      </c>
      <c r="K39" s="32">
        <v>47.602499999999999</v>
      </c>
      <c r="L39" s="33">
        <f t="shared" si="5"/>
        <v>1227.8163961976786</v>
      </c>
      <c r="M39" s="26">
        <v>60</v>
      </c>
      <c r="N39" s="37">
        <f t="shared" si="6"/>
        <v>974.11883333333333</v>
      </c>
      <c r="O39" s="38">
        <f t="shared" ca="1" si="7"/>
        <v>77</v>
      </c>
      <c r="P39" s="36">
        <f t="shared" ca="1" si="1"/>
        <v>-16560.020166666662</v>
      </c>
      <c r="Q39" s="36">
        <f t="shared" ca="1" si="2"/>
        <v>1</v>
      </c>
      <c r="R39" s="50" t="s">
        <v>2962</v>
      </c>
    </row>
    <row r="40" spans="2:18" s="5" customFormat="1" ht="54.75" customHeight="1" x14ac:dyDescent="0.25">
      <c r="B40" s="27">
        <v>43004</v>
      </c>
      <c r="C40" s="24" t="s">
        <v>2351</v>
      </c>
      <c r="D40" s="26" t="s">
        <v>2958</v>
      </c>
      <c r="E40" s="26" t="s">
        <v>2989</v>
      </c>
      <c r="F40" s="26" t="s">
        <v>2964</v>
      </c>
      <c r="G40" s="26" t="s">
        <v>2990</v>
      </c>
      <c r="H40" s="26" t="s">
        <v>2991</v>
      </c>
      <c r="I40" s="26" t="s">
        <v>19</v>
      </c>
      <c r="J40" s="32">
        <v>58447.13</v>
      </c>
      <c r="K40" s="32">
        <v>47.602499999999999</v>
      </c>
      <c r="L40" s="33">
        <f t="shared" si="5"/>
        <v>1227.8163961976786</v>
      </c>
      <c r="M40" s="26">
        <v>60</v>
      </c>
      <c r="N40" s="37">
        <f t="shared" si="6"/>
        <v>974.11883333333333</v>
      </c>
      <c r="O40" s="38">
        <f t="shared" ca="1" si="7"/>
        <v>77</v>
      </c>
      <c r="P40" s="36">
        <f t="shared" ca="1" si="1"/>
        <v>-16560.020166666662</v>
      </c>
      <c r="Q40" s="36">
        <f t="shared" ca="1" si="2"/>
        <v>1</v>
      </c>
      <c r="R40" s="50" t="s">
        <v>2962</v>
      </c>
    </row>
    <row r="41" spans="2:18" s="5" customFormat="1" ht="54" customHeight="1" x14ac:dyDescent="0.25">
      <c r="B41" s="27">
        <v>43004</v>
      </c>
      <c r="C41" s="24" t="s">
        <v>2351</v>
      </c>
      <c r="D41" s="26" t="s">
        <v>2958</v>
      </c>
      <c r="E41" s="26" t="s">
        <v>2992</v>
      </c>
      <c r="F41" s="26" t="s">
        <v>2964</v>
      </c>
      <c r="G41" s="26" t="s">
        <v>2993</v>
      </c>
      <c r="H41" s="26" t="s">
        <v>2994</v>
      </c>
      <c r="I41" s="26" t="s">
        <v>19</v>
      </c>
      <c r="J41" s="32">
        <v>58447.13</v>
      </c>
      <c r="K41" s="32">
        <v>47.602499999999999</v>
      </c>
      <c r="L41" s="33">
        <f t="shared" si="5"/>
        <v>1227.8163961976786</v>
      </c>
      <c r="M41" s="26">
        <v>60</v>
      </c>
      <c r="N41" s="37">
        <f t="shared" si="6"/>
        <v>974.11883333333333</v>
      </c>
      <c r="O41" s="38">
        <f t="shared" ca="1" si="7"/>
        <v>77</v>
      </c>
      <c r="P41" s="36">
        <f t="shared" ca="1" si="1"/>
        <v>-16560.020166666662</v>
      </c>
      <c r="Q41" s="36">
        <f t="shared" ca="1" si="2"/>
        <v>1</v>
      </c>
      <c r="R41" s="50" t="s">
        <v>2962</v>
      </c>
    </row>
    <row r="42" spans="2:18" s="5" customFormat="1" ht="57.75" customHeight="1" x14ac:dyDescent="0.25">
      <c r="B42" s="27">
        <v>43004</v>
      </c>
      <c r="C42" s="24" t="s">
        <v>2351</v>
      </c>
      <c r="D42" s="26" t="s">
        <v>2958</v>
      </c>
      <c r="E42" s="26" t="s">
        <v>2995</v>
      </c>
      <c r="F42" s="26" t="s">
        <v>2964</v>
      </c>
      <c r="G42" s="26" t="s">
        <v>2996</v>
      </c>
      <c r="H42" s="29" t="s">
        <v>2997</v>
      </c>
      <c r="I42" s="26" t="s">
        <v>19</v>
      </c>
      <c r="J42" s="32">
        <v>58447.13</v>
      </c>
      <c r="K42" s="32">
        <v>47.602499999999999</v>
      </c>
      <c r="L42" s="33">
        <f t="shared" si="5"/>
        <v>1227.8163961976786</v>
      </c>
      <c r="M42" s="26">
        <v>60</v>
      </c>
      <c r="N42" s="37">
        <f t="shared" si="6"/>
        <v>974.11883333333333</v>
      </c>
      <c r="O42" s="38">
        <f t="shared" ca="1" si="7"/>
        <v>77</v>
      </c>
      <c r="P42" s="36">
        <f t="shared" ca="1" si="1"/>
        <v>-16560.020166666662</v>
      </c>
      <c r="Q42" s="36">
        <f t="shared" ca="1" si="2"/>
        <v>1</v>
      </c>
      <c r="R42" s="50" t="s">
        <v>2962</v>
      </c>
    </row>
    <row r="43" spans="2:18" s="5" customFormat="1" ht="53.25" customHeight="1" x14ac:dyDescent="0.25">
      <c r="B43" s="27">
        <v>43004</v>
      </c>
      <c r="C43" s="24" t="s">
        <v>2351</v>
      </c>
      <c r="D43" s="26" t="s">
        <v>2958</v>
      </c>
      <c r="E43" s="26" t="s">
        <v>2998</v>
      </c>
      <c r="F43" s="26" t="s">
        <v>2964</v>
      </c>
      <c r="G43" s="26" t="s">
        <v>2999</v>
      </c>
      <c r="H43" s="26" t="s">
        <v>3000</v>
      </c>
      <c r="I43" s="26" t="s">
        <v>19</v>
      </c>
      <c r="J43" s="32">
        <v>58447.13</v>
      </c>
      <c r="K43" s="32">
        <v>47.602499999999999</v>
      </c>
      <c r="L43" s="33">
        <f t="shared" si="5"/>
        <v>1227.8163961976786</v>
      </c>
      <c r="M43" s="26">
        <v>60</v>
      </c>
      <c r="N43" s="37">
        <f t="shared" si="6"/>
        <v>974.11883333333333</v>
      </c>
      <c r="O43" s="38">
        <f t="shared" ca="1" si="7"/>
        <v>77</v>
      </c>
      <c r="P43" s="36">
        <f t="shared" ca="1" si="1"/>
        <v>-16560.020166666662</v>
      </c>
      <c r="Q43" s="36">
        <f t="shared" ca="1" si="2"/>
        <v>1</v>
      </c>
      <c r="R43" s="50" t="s">
        <v>2962</v>
      </c>
    </row>
    <row r="44" spans="2:18" s="5" customFormat="1" ht="49.5" customHeight="1" x14ac:dyDescent="0.25">
      <c r="B44" s="27">
        <v>43004</v>
      </c>
      <c r="C44" s="24" t="s">
        <v>2351</v>
      </c>
      <c r="D44" s="26" t="s">
        <v>2958</v>
      </c>
      <c r="E44" s="26" t="s">
        <v>3001</v>
      </c>
      <c r="F44" s="26" t="s">
        <v>2964</v>
      </c>
      <c r="G44" s="26" t="s">
        <v>3002</v>
      </c>
      <c r="H44" s="26" t="s">
        <v>3003</v>
      </c>
      <c r="I44" s="26" t="s">
        <v>19</v>
      </c>
      <c r="J44" s="32">
        <v>58447.13</v>
      </c>
      <c r="K44" s="32">
        <v>47.602499999999999</v>
      </c>
      <c r="L44" s="33">
        <f t="shared" si="5"/>
        <v>1227.8163961976786</v>
      </c>
      <c r="M44" s="26">
        <v>60</v>
      </c>
      <c r="N44" s="37">
        <f t="shared" si="6"/>
        <v>974.11883333333333</v>
      </c>
      <c r="O44" s="38">
        <f t="shared" ca="1" si="7"/>
        <v>77</v>
      </c>
      <c r="P44" s="36">
        <f t="shared" ca="1" si="1"/>
        <v>-16560.020166666662</v>
      </c>
      <c r="Q44" s="36">
        <f t="shared" ca="1" si="2"/>
        <v>1</v>
      </c>
      <c r="R44" s="50" t="s">
        <v>2962</v>
      </c>
    </row>
    <row r="45" spans="2:18" s="5" customFormat="1" ht="59.25" customHeight="1" x14ac:dyDescent="0.25">
      <c r="B45" s="27">
        <v>43004</v>
      </c>
      <c r="C45" s="24" t="s">
        <v>2351</v>
      </c>
      <c r="D45" s="26" t="s">
        <v>2958</v>
      </c>
      <c r="E45" s="26" t="s">
        <v>3004</v>
      </c>
      <c r="F45" s="26" t="s">
        <v>2964</v>
      </c>
      <c r="G45" s="26" t="s">
        <v>3005</v>
      </c>
      <c r="H45" s="26" t="s">
        <v>3006</v>
      </c>
      <c r="I45" s="26" t="s">
        <v>19</v>
      </c>
      <c r="J45" s="32">
        <v>58447.13</v>
      </c>
      <c r="K45" s="32">
        <v>47.602499999999999</v>
      </c>
      <c r="L45" s="33">
        <f t="shared" si="5"/>
        <v>1227.8163961976786</v>
      </c>
      <c r="M45" s="26">
        <v>60</v>
      </c>
      <c r="N45" s="37">
        <f t="shared" si="6"/>
        <v>974.11883333333333</v>
      </c>
      <c r="O45" s="38">
        <f t="shared" ca="1" si="7"/>
        <v>77</v>
      </c>
      <c r="P45" s="36">
        <f t="shared" ca="1" si="1"/>
        <v>-16560.020166666662</v>
      </c>
      <c r="Q45" s="36">
        <f t="shared" ca="1" si="2"/>
        <v>1</v>
      </c>
      <c r="R45" s="50" t="s">
        <v>2962</v>
      </c>
    </row>
    <row r="46" spans="2:18" s="5" customFormat="1" ht="51.75" customHeight="1" x14ac:dyDescent="0.25">
      <c r="B46" s="27">
        <v>43007</v>
      </c>
      <c r="C46" s="24" t="s">
        <v>2351</v>
      </c>
      <c r="D46" s="26" t="s">
        <v>3007</v>
      </c>
      <c r="E46" s="26" t="s">
        <v>3008</v>
      </c>
      <c r="F46" s="26" t="s">
        <v>3009</v>
      </c>
      <c r="G46" s="26">
        <v>15718</v>
      </c>
      <c r="H46" s="26" t="s">
        <v>3010</v>
      </c>
      <c r="I46" s="26" t="s">
        <v>19</v>
      </c>
      <c r="J46" s="32">
        <v>3776</v>
      </c>
      <c r="K46" s="32">
        <v>47.676900000000003</v>
      </c>
      <c r="L46" s="33">
        <f t="shared" si="5"/>
        <v>79.199780187050749</v>
      </c>
      <c r="M46" s="26">
        <v>60</v>
      </c>
      <c r="N46" s="37">
        <f t="shared" si="6"/>
        <v>62.93333333333333</v>
      </c>
      <c r="O46" s="38">
        <f t="shared" ca="1" si="7"/>
        <v>76</v>
      </c>
      <c r="P46" s="36">
        <f t="shared" ca="1" si="1"/>
        <v>-1006.9333333333334</v>
      </c>
      <c r="Q46" s="36">
        <f t="shared" ca="1" si="2"/>
        <v>1</v>
      </c>
      <c r="R46" s="50" t="s">
        <v>3011</v>
      </c>
    </row>
    <row r="47" spans="2:18" s="5" customFormat="1" ht="81" customHeight="1" x14ac:dyDescent="0.25">
      <c r="B47" s="27">
        <v>43007</v>
      </c>
      <c r="C47" s="24" t="s">
        <v>2351</v>
      </c>
      <c r="D47" s="26" t="s">
        <v>3012</v>
      </c>
      <c r="E47" s="26" t="s">
        <v>3013</v>
      </c>
      <c r="F47" s="26" t="s">
        <v>3014</v>
      </c>
      <c r="G47" s="26" t="s">
        <v>28</v>
      </c>
      <c r="H47" s="26" t="s">
        <v>3015</v>
      </c>
      <c r="I47" s="26" t="s">
        <v>19</v>
      </c>
      <c r="J47" s="32">
        <v>283878.59000000003</v>
      </c>
      <c r="K47" s="32">
        <v>47.676900000000003</v>
      </c>
      <c r="L47" s="33">
        <f t="shared" si="5"/>
        <v>5954.2166122377921</v>
      </c>
      <c r="M47" s="26">
        <v>60</v>
      </c>
      <c r="N47" s="37">
        <f t="shared" si="6"/>
        <v>4731.3098333333337</v>
      </c>
      <c r="O47" s="38">
        <f t="shared" ca="1" si="7"/>
        <v>76</v>
      </c>
      <c r="P47" s="36">
        <f t="shared" ca="1" si="1"/>
        <v>-75700.957333333325</v>
      </c>
      <c r="Q47" s="36">
        <f t="shared" ca="1" si="2"/>
        <v>1</v>
      </c>
      <c r="R47" s="50" t="s">
        <v>3016</v>
      </c>
    </row>
    <row r="48" spans="2:18" s="5" customFormat="1" ht="93" customHeight="1" x14ac:dyDescent="0.25">
      <c r="B48" s="27">
        <v>43007</v>
      </c>
      <c r="C48" s="24" t="s">
        <v>2351</v>
      </c>
      <c r="D48" s="26" t="s">
        <v>3017</v>
      </c>
      <c r="E48" s="26" t="s">
        <v>3018</v>
      </c>
      <c r="F48" s="26" t="s">
        <v>3019</v>
      </c>
      <c r="G48" s="26" t="s">
        <v>3020</v>
      </c>
      <c r="H48" s="26" t="s">
        <v>3015</v>
      </c>
      <c r="I48" s="26" t="s">
        <v>19</v>
      </c>
      <c r="J48" s="32">
        <v>112692.89</v>
      </c>
      <c r="K48" s="32">
        <v>47.676900000000003</v>
      </c>
      <c r="L48" s="33">
        <f t="shared" si="5"/>
        <v>2363.6790563144832</v>
      </c>
      <c r="M48" s="26">
        <v>60</v>
      </c>
      <c r="N48" s="37">
        <f t="shared" si="6"/>
        <v>1878.2148333333332</v>
      </c>
      <c r="O48" s="38">
        <f t="shared" ca="1" si="7"/>
        <v>76</v>
      </c>
      <c r="P48" s="36">
        <f t="shared" ca="1" si="1"/>
        <v>-30051.437333333321</v>
      </c>
      <c r="Q48" s="36">
        <f t="shared" ca="1" si="2"/>
        <v>1</v>
      </c>
      <c r="R48" s="50" t="s">
        <v>1328</v>
      </c>
    </row>
    <row r="49" spans="2:18" s="5" customFormat="1" ht="102.75" customHeight="1" x14ac:dyDescent="0.25">
      <c r="B49" s="27">
        <v>43053</v>
      </c>
      <c r="C49" s="24" t="s">
        <v>2351</v>
      </c>
      <c r="D49" s="26" t="s">
        <v>3021</v>
      </c>
      <c r="E49" s="26" t="s">
        <v>3022</v>
      </c>
      <c r="F49" s="26" t="s">
        <v>3023</v>
      </c>
      <c r="G49" s="26" t="s">
        <v>28</v>
      </c>
      <c r="H49" s="26" t="s">
        <v>23</v>
      </c>
      <c r="I49" s="26" t="s">
        <v>3024</v>
      </c>
      <c r="J49" s="32">
        <f>1770*16</f>
        <v>28320</v>
      </c>
      <c r="K49" s="32">
        <v>47.850999999999999</v>
      </c>
      <c r="L49" s="33">
        <f t="shared" si="5"/>
        <v>591.83716118785401</v>
      </c>
      <c r="M49" s="26">
        <v>60</v>
      </c>
      <c r="N49" s="37">
        <f t="shared" si="6"/>
        <v>472</v>
      </c>
      <c r="O49" s="38">
        <f t="shared" ca="1" si="7"/>
        <v>75</v>
      </c>
      <c r="P49" s="36">
        <f t="shared" ca="1" si="1"/>
        <v>-7080</v>
      </c>
      <c r="Q49" s="36">
        <f t="shared" ca="1" si="2"/>
        <v>1</v>
      </c>
      <c r="R49" s="50" t="s">
        <v>1320</v>
      </c>
    </row>
    <row r="50" spans="2:18" s="5" customFormat="1" ht="78" customHeight="1" x14ac:dyDescent="0.25">
      <c r="B50" s="27">
        <v>43053</v>
      </c>
      <c r="C50" s="24" t="s">
        <v>2351</v>
      </c>
      <c r="D50" s="26" t="s">
        <v>3021</v>
      </c>
      <c r="E50" s="26" t="s">
        <v>3025</v>
      </c>
      <c r="F50" s="26" t="s">
        <v>3026</v>
      </c>
      <c r="G50" s="26" t="s">
        <v>28</v>
      </c>
      <c r="H50" s="26" t="s">
        <v>318</v>
      </c>
      <c r="I50" s="26" t="s">
        <v>3027</v>
      </c>
      <c r="J50" s="32">
        <f>1770*12</f>
        <v>21240</v>
      </c>
      <c r="K50" s="32">
        <v>47.850999999999999</v>
      </c>
      <c r="L50" s="33">
        <f t="shared" si="5"/>
        <v>443.87787089089051</v>
      </c>
      <c r="M50" s="26">
        <v>60</v>
      </c>
      <c r="N50" s="37">
        <f t="shared" si="6"/>
        <v>354</v>
      </c>
      <c r="O50" s="38">
        <f t="shared" ca="1" si="7"/>
        <v>75</v>
      </c>
      <c r="P50" s="36">
        <f t="shared" ca="1" si="1"/>
        <v>-5310</v>
      </c>
      <c r="Q50" s="36">
        <f t="shared" ca="1" si="2"/>
        <v>1</v>
      </c>
      <c r="R50" s="50" t="s">
        <v>1320</v>
      </c>
    </row>
    <row r="51" spans="2:18" s="5" customFormat="1" ht="81.75" customHeight="1" x14ac:dyDescent="0.25">
      <c r="B51" s="27">
        <v>43053</v>
      </c>
      <c r="C51" s="24" t="s">
        <v>2351</v>
      </c>
      <c r="D51" s="26" t="s">
        <v>3021</v>
      </c>
      <c r="E51" s="26" t="s">
        <v>3028</v>
      </c>
      <c r="F51" s="26" t="s">
        <v>3023</v>
      </c>
      <c r="G51" s="26" t="s">
        <v>28</v>
      </c>
      <c r="H51" s="26" t="s">
        <v>3029</v>
      </c>
      <c r="I51" s="26" t="s">
        <v>3030</v>
      </c>
      <c r="J51" s="32">
        <f>1770*16</f>
        <v>28320</v>
      </c>
      <c r="K51" s="32">
        <v>47.850999999999999</v>
      </c>
      <c r="L51" s="33">
        <f t="shared" si="5"/>
        <v>591.83716118785401</v>
      </c>
      <c r="M51" s="26">
        <v>60</v>
      </c>
      <c r="N51" s="37">
        <f t="shared" si="6"/>
        <v>472</v>
      </c>
      <c r="O51" s="38">
        <f t="shared" ca="1" si="7"/>
        <v>75</v>
      </c>
      <c r="P51" s="36">
        <f t="shared" ca="1" si="1"/>
        <v>-7080</v>
      </c>
      <c r="Q51" s="36">
        <f t="shared" ca="1" si="2"/>
        <v>1</v>
      </c>
      <c r="R51" s="50" t="s">
        <v>1320</v>
      </c>
    </row>
    <row r="52" spans="2:18" s="5" customFormat="1" ht="78" customHeight="1" x14ac:dyDescent="0.25">
      <c r="B52" s="27">
        <v>43053</v>
      </c>
      <c r="C52" s="24" t="s">
        <v>2351</v>
      </c>
      <c r="D52" s="26" t="s">
        <v>3021</v>
      </c>
      <c r="E52" s="26" t="s">
        <v>3031</v>
      </c>
      <c r="F52" s="26" t="s">
        <v>3023</v>
      </c>
      <c r="G52" s="26" t="s">
        <v>28</v>
      </c>
      <c r="H52" s="26" t="s">
        <v>3032</v>
      </c>
      <c r="I52" s="26" t="s">
        <v>3033</v>
      </c>
      <c r="J52" s="32">
        <f>1770*16</f>
        <v>28320</v>
      </c>
      <c r="K52" s="32">
        <v>47.850999999999999</v>
      </c>
      <c r="L52" s="33">
        <f t="shared" si="5"/>
        <v>591.83716118785401</v>
      </c>
      <c r="M52" s="26">
        <v>60</v>
      </c>
      <c r="N52" s="37">
        <f t="shared" si="6"/>
        <v>472</v>
      </c>
      <c r="O52" s="38">
        <f t="shared" ca="1" si="7"/>
        <v>75</v>
      </c>
      <c r="P52" s="36">
        <f t="shared" ca="1" si="1"/>
        <v>-7080</v>
      </c>
      <c r="Q52" s="36">
        <f t="shared" ca="1" si="2"/>
        <v>1</v>
      </c>
      <c r="R52" s="50" t="s">
        <v>1320</v>
      </c>
    </row>
    <row r="53" spans="2:18" s="5" customFormat="1" ht="78.75" customHeight="1" x14ac:dyDescent="0.25">
      <c r="B53" s="27">
        <v>43061</v>
      </c>
      <c r="C53" s="24" t="s">
        <v>2351</v>
      </c>
      <c r="D53" s="26" t="s">
        <v>3034</v>
      </c>
      <c r="E53" s="26" t="s">
        <v>3035</v>
      </c>
      <c r="F53" s="26" t="s">
        <v>3036</v>
      </c>
      <c r="G53" s="26" t="s">
        <v>28</v>
      </c>
      <c r="H53" s="26" t="s">
        <v>23</v>
      </c>
      <c r="I53" s="26" t="s">
        <v>3024</v>
      </c>
      <c r="J53" s="32">
        <f>(5513.26+1689.754)*1</f>
        <v>7203.0140000000001</v>
      </c>
      <c r="K53" s="32">
        <v>47.930799999999998</v>
      </c>
      <c r="L53" s="33">
        <f t="shared" si="5"/>
        <v>150.27944453253443</v>
      </c>
      <c r="M53" s="26">
        <v>60</v>
      </c>
      <c r="N53" s="37">
        <f t="shared" si="6"/>
        <v>120.05023333333334</v>
      </c>
      <c r="O53" s="38">
        <f t="shared" ca="1" si="7"/>
        <v>75</v>
      </c>
      <c r="P53" s="36">
        <f t="shared" ca="1" si="1"/>
        <v>-1800.7534999999998</v>
      </c>
      <c r="Q53" s="36">
        <f t="shared" ca="1" si="2"/>
        <v>1</v>
      </c>
      <c r="R53" s="50" t="s">
        <v>3037</v>
      </c>
    </row>
    <row r="54" spans="2:18" s="5" customFormat="1" ht="81" customHeight="1" x14ac:dyDescent="0.25">
      <c r="B54" s="27">
        <v>43061</v>
      </c>
      <c r="C54" s="24" t="s">
        <v>2351</v>
      </c>
      <c r="D54" s="26" t="s">
        <v>3034</v>
      </c>
      <c r="E54" s="26" t="s">
        <v>3038</v>
      </c>
      <c r="F54" s="26" t="s">
        <v>3039</v>
      </c>
      <c r="G54" s="26" t="s">
        <v>28</v>
      </c>
      <c r="H54" s="26" t="s">
        <v>23</v>
      </c>
      <c r="I54" s="26" t="s">
        <v>3024</v>
      </c>
      <c r="J54" s="32">
        <f>(5698.49+1689.8)*18</f>
        <v>132989.22</v>
      </c>
      <c r="K54" s="32">
        <v>47.930799999999998</v>
      </c>
      <c r="L54" s="33">
        <f t="shared" si="5"/>
        <v>2774.6088110359101</v>
      </c>
      <c r="M54" s="26">
        <v>60</v>
      </c>
      <c r="N54" s="37">
        <f t="shared" si="6"/>
        <v>2216.4870000000001</v>
      </c>
      <c r="O54" s="38">
        <f t="shared" ca="1" si="7"/>
        <v>75</v>
      </c>
      <c r="P54" s="36">
        <f t="shared" ca="1" si="1"/>
        <v>-33247.304999999993</v>
      </c>
      <c r="Q54" s="36">
        <f t="shared" ca="1" si="2"/>
        <v>1</v>
      </c>
      <c r="R54" s="50" t="s">
        <v>3037</v>
      </c>
    </row>
    <row r="55" spans="2:18" s="5" customFormat="1" ht="100.5" customHeight="1" x14ac:dyDescent="0.25">
      <c r="B55" s="27">
        <v>43061</v>
      </c>
      <c r="C55" s="24" t="s">
        <v>2351</v>
      </c>
      <c r="D55" s="26" t="s">
        <v>3034</v>
      </c>
      <c r="E55" s="26" t="s">
        <v>3040</v>
      </c>
      <c r="F55" s="26" t="s">
        <v>3041</v>
      </c>
      <c r="G55" s="26" t="s">
        <v>28</v>
      </c>
      <c r="H55" s="26" t="s">
        <v>23</v>
      </c>
      <c r="I55" s="26" t="s">
        <v>3024</v>
      </c>
      <c r="J55" s="32">
        <f>(6045.6+1689.8)*99</f>
        <v>765804.60000000009</v>
      </c>
      <c r="K55" s="32">
        <v>47.930799999999998</v>
      </c>
      <c r="L55" s="33">
        <f t="shared" si="5"/>
        <v>15977.296435694796</v>
      </c>
      <c r="M55" s="26">
        <v>60</v>
      </c>
      <c r="N55" s="37">
        <f t="shared" si="6"/>
        <v>12763.410000000002</v>
      </c>
      <c r="O55" s="38">
        <f t="shared" ca="1" si="7"/>
        <v>75</v>
      </c>
      <c r="P55" s="36">
        <f t="shared" ca="1" si="1"/>
        <v>-191451.15000000002</v>
      </c>
      <c r="Q55" s="36">
        <f t="shared" ca="1" si="2"/>
        <v>1</v>
      </c>
      <c r="R55" s="50" t="s">
        <v>3037</v>
      </c>
    </row>
    <row r="56" spans="2:18" s="5" customFormat="1" ht="81" customHeight="1" x14ac:dyDescent="0.25">
      <c r="B56" s="27">
        <v>43061</v>
      </c>
      <c r="C56" s="24" t="s">
        <v>2351</v>
      </c>
      <c r="D56" s="26" t="s">
        <v>3034</v>
      </c>
      <c r="E56" s="26" t="s">
        <v>3042</v>
      </c>
      <c r="F56" s="26" t="s">
        <v>3043</v>
      </c>
      <c r="G56" s="26" t="s">
        <v>28</v>
      </c>
      <c r="H56" s="26" t="s">
        <v>318</v>
      </c>
      <c r="I56" s="26" t="s">
        <v>3027</v>
      </c>
      <c r="J56" s="32">
        <f>(5698.49+1689.8)*4</f>
        <v>29553.16</v>
      </c>
      <c r="K56" s="32">
        <v>47.930799999999998</v>
      </c>
      <c r="L56" s="33">
        <f t="shared" si="5"/>
        <v>616.57973578575786</v>
      </c>
      <c r="M56" s="26">
        <v>60</v>
      </c>
      <c r="N56" s="37">
        <f t="shared" si="6"/>
        <v>492.55266666666665</v>
      </c>
      <c r="O56" s="38">
        <f t="shared" ca="1" si="7"/>
        <v>75</v>
      </c>
      <c r="P56" s="36">
        <f t="shared" ca="1" si="1"/>
        <v>-7388.2899999999972</v>
      </c>
      <c r="Q56" s="36">
        <f t="shared" ca="1" si="2"/>
        <v>1</v>
      </c>
      <c r="R56" s="50" t="s">
        <v>3037</v>
      </c>
    </row>
    <row r="57" spans="2:18" s="5" customFormat="1" ht="84" customHeight="1" x14ac:dyDescent="0.25">
      <c r="B57" s="27">
        <v>43061</v>
      </c>
      <c r="C57" s="24" t="s">
        <v>2351</v>
      </c>
      <c r="D57" s="26" t="s">
        <v>3034</v>
      </c>
      <c r="E57" s="26" t="s">
        <v>3044</v>
      </c>
      <c r="F57" s="26" t="s">
        <v>3045</v>
      </c>
      <c r="G57" s="26" t="s">
        <v>28</v>
      </c>
      <c r="H57" s="26" t="s">
        <v>318</v>
      </c>
      <c r="I57" s="26" t="s">
        <v>3027</v>
      </c>
      <c r="J57" s="32">
        <f>(6045.6+1689.8)*62</f>
        <v>479594.80000000005</v>
      </c>
      <c r="K57" s="32">
        <v>47.930799999999998</v>
      </c>
      <c r="L57" s="33">
        <f t="shared" si="5"/>
        <v>10005.98362639472</v>
      </c>
      <c r="M57" s="26">
        <v>60</v>
      </c>
      <c r="N57" s="37">
        <f t="shared" si="6"/>
        <v>7993.2466666666678</v>
      </c>
      <c r="O57" s="38">
        <f t="shared" ca="1" si="7"/>
        <v>75</v>
      </c>
      <c r="P57" s="36">
        <f t="shared" ca="1" si="1"/>
        <v>-119898.70000000007</v>
      </c>
      <c r="Q57" s="36">
        <f t="shared" ca="1" si="2"/>
        <v>1</v>
      </c>
      <c r="R57" s="50" t="s">
        <v>3037</v>
      </c>
    </row>
    <row r="58" spans="2:18" s="5" customFormat="1" ht="87.75" customHeight="1" x14ac:dyDescent="0.25">
      <c r="B58" s="27">
        <v>43061</v>
      </c>
      <c r="C58" s="24" t="s">
        <v>2351</v>
      </c>
      <c r="D58" s="26" t="s">
        <v>3034</v>
      </c>
      <c r="E58" s="26" t="s">
        <v>3046</v>
      </c>
      <c r="F58" s="26" t="s">
        <v>3047</v>
      </c>
      <c r="G58" s="26" t="s">
        <v>28</v>
      </c>
      <c r="H58" s="26" t="s">
        <v>3032</v>
      </c>
      <c r="I58" s="26" t="s">
        <v>3033</v>
      </c>
      <c r="J58" s="32">
        <f>(5513.26+1689.75)*9</f>
        <v>64827.090000000004</v>
      </c>
      <c r="K58" s="32">
        <v>47.930799999999998</v>
      </c>
      <c r="L58" s="33">
        <f t="shared" si="5"/>
        <v>1352.5142497099987</v>
      </c>
      <c r="M58" s="26">
        <v>60</v>
      </c>
      <c r="N58" s="37">
        <f t="shared" si="6"/>
        <v>1080.4515000000001</v>
      </c>
      <c r="O58" s="38">
        <f t="shared" ca="1" si="7"/>
        <v>75</v>
      </c>
      <c r="P58" s="36">
        <f t="shared" ca="1" si="1"/>
        <v>-16206.772499999999</v>
      </c>
      <c r="Q58" s="36">
        <f t="shared" ca="1" si="2"/>
        <v>1</v>
      </c>
      <c r="R58" s="50" t="s">
        <v>3037</v>
      </c>
    </row>
    <row r="59" spans="2:18" s="5" customFormat="1" ht="87" customHeight="1" x14ac:dyDescent="0.25">
      <c r="B59" s="27">
        <v>43061</v>
      </c>
      <c r="C59" s="24" t="s">
        <v>2351</v>
      </c>
      <c r="D59" s="26" t="s">
        <v>3034</v>
      </c>
      <c r="E59" s="26" t="s">
        <v>3048</v>
      </c>
      <c r="F59" s="26" t="s">
        <v>3049</v>
      </c>
      <c r="G59" s="26" t="s">
        <v>28</v>
      </c>
      <c r="H59" s="26" t="s">
        <v>3032</v>
      </c>
      <c r="I59" s="26" t="s">
        <v>3033</v>
      </c>
      <c r="J59" s="32">
        <f>(5698.49+1689.8)*15</f>
        <v>110824.35</v>
      </c>
      <c r="K59" s="32">
        <v>47.930799999999998</v>
      </c>
      <c r="L59" s="33">
        <f t="shared" si="5"/>
        <v>2312.1740091965921</v>
      </c>
      <c r="M59" s="26">
        <v>60</v>
      </c>
      <c r="N59" s="37">
        <f t="shared" si="6"/>
        <v>1847.0725</v>
      </c>
      <c r="O59" s="38">
        <f t="shared" ca="1" si="7"/>
        <v>75</v>
      </c>
      <c r="P59" s="36">
        <f t="shared" ca="1" si="1"/>
        <v>-27706.087499999994</v>
      </c>
      <c r="Q59" s="36">
        <f t="shared" ca="1" si="2"/>
        <v>1</v>
      </c>
      <c r="R59" s="50" t="s">
        <v>3037</v>
      </c>
    </row>
    <row r="60" spans="2:18" s="5" customFormat="1" ht="100.5" customHeight="1" x14ac:dyDescent="0.25">
      <c r="B60" s="27">
        <v>43061</v>
      </c>
      <c r="C60" s="24" t="s">
        <v>2351</v>
      </c>
      <c r="D60" s="26" t="s">
        <v>3034</v>
      </c>
      <c r="E60" s="26" t="s">
        <v>3050</v>
      </c>
      <c r="F60" s="26" t="s">
        <v>3051</v>
      </c>
      <c r="G60" s="26" t="s">
        <v>28</v>
      </c>
      <c r="H60" s="26" t="s">
        <v>3032</v>
      </c>
      <c r="I60" s="26" t="s">
        <v>3033</v>
      </c>
      <c r="J60" s="32">
        <f>(6045.6+1689.8)*101</f>
        <v>781275.4</v>
      </c>
      <c r="K60" s="32">
        <v>47.930799999999998</v>
      </c>
      <c r="L60" s="33">
        <f t="shared" si="5"/>
        <v>16300.070101062367</v>
      </c>
      <c r="M60" s="26">
        <v>60</v>
      </c>
      <c r="N60" s="37">
        <f t="shared" si="6"/>
        <v>13021.256666666666</v>
      </c>
      <c r="O60" s="38">
        <f t="shared" ca="1" si="7"/>
        <v>75</v>
      </c>
      <c r="P60" s="36">
        <f t="shared" ca="1" si="1"/>
        <v>-195318.84999999998</v>
      </c>
      <c r="Q60" s="36">
        <f t="shared" ca="1" si="2"/>
        <v>1</v>
      </c>
      <c r="R60" s="50" t="s">
        <v>3037</v>
      </c>
    </row>
    <row r="61" spans="2:18" s="5" customFormat="1" ht="86.25" customHeight="1" x14ac:dyDescent="0.25">
      <c r="B61" s="27">
        <v>43061</v>
      </c>
      <c r="C61" s="24" t="s">
        <v>2351</v>
      </c>
      <c r="D61" s="26" t="s">
        <v>3034</v>
      </c>
      <c r="E61" s="26" t="s">
        <v>3052</v>
      </c>
      <c r="F61" s="26" t="s">
        <v>3053</v>
      </c>
      <c r="G61" s="26" t="s">
        <v>28</v>
      </c>
      <c r="H61" s="26" t="s">
        <v>3029</v>
      </c>
      <c r="I61" s="26" t="s">
        <v>3030</v>
      </c>
      <c r="J61" s="32">
        <f>(5513.26+1689.75)*4</f>
        <v>28812.04</v>
      </c>
      <c r="K61" s="32">
        <v>47.930799999999998</v>
      </c>
      <c r="L61" s="33">
        <f t="shared" si="5"/>
        <v>601.11744431555496</v>
      </c>
      <c r="M61" s="26">
        <v>60</v>
      </c>
      <c r="N61" s="37">
        <f t="shared" si="6"/>
        <v>480.20066666666668</v>
      </c>
      <c r="O61" s="38">
        <f t="shared" ca="1" si="7"/>
        <v>75</v>
      </c>
      <c r="P61" s="36">
        <f t="shared" ca="1" si="1"/>
        <v>-7203.010000000002</v>
      </c>
      <c r="Q61" s="36">
        <f t="shared" ca="1" si="2"/>
        <v>1</v>
      </c>
      <c r="R61" s="50" t="s">
        <v>3037</v>
      </c>
    </row>
    <row r="62" spans="2:18" s="5" customFormat="1" ht="84.75" customHeight="1" x14ac:dyDescent="0.25">
      <c r="B62" s="27">
        <v>43061</v>
      </c>
      <c r="C62" s="24" t="s">
        <v>2351</v>
      </c>
      <c r="D62" s="26" t="s">
        <v>3034</v>
      </c>
      <c r="E62" s="26" t="s">
        <v>3054</v>
      </c>
      <c r="F62" s="26" t="s">
        <v>3055</v>
      </c>
      <c r="G62" s="26" t="s">
        <v>28</v>
      </c>
      <c r="H62" s="26" t="s">
        <v>3029</v>
      </c>
      <c r="I62" s="26" t="s">
        <v>3030</v>
      </c>
      <c r="J62" s="32">
        <f>(5698.49+1689.8)*6</f>
        <v>44329.74</v>
      </c>
      <c r="K62" s="32">
        <v>47.930799999999998</v>
      </c>
      <c r="L62" s="33">
        <f t="shared" si="5"/>
        <v>924.86960367863674</v>
      </c>
      <c r="M62" s="26">
        <v>60</v>
      </c>
      <c r="N62" s="37">
        <f t="shared" si="6"/>
        <v>738.82899999999995</v>
      </c>
      <c r="O62" s="38">
        <f t="shared" ca="1" si="7"/>
        <v>75</v>
      </c>
      <c r="P62" s="36">
        <f t="shared" ca="1" si="1"/>
        <v>-11082.434999999998</v>
      </c>
      <c r="Q62" s="36">
        <f t="shared" ca="1" si="2"/>
        <v>1</v>
      </c>
      <c r="R62" s="50" t="s">
        <v>3037</v>
      </c>
    </row>
    <row r="63" spans="2:18" s="5" customFormat="1" ht="77.25" customHeight="1" x14ac:dyDescent="0.25">
      <c r="B63" s="27">
        <v>43061</v>
      </c>
      <c r="C63" s="24" t="s">
        <v>2351</v>
      </c>
      <c r="D63" s="26" t="s">
        <v>3034</v>
      </c>
      <c r="E63" s="26" t="s">
        <v>3056</v>
      </c>
      <c r="F63" s="26" t="s">
        <v>3057</v>
      </c>
      <c r="G63" s="26" t="s">
        <v>28</v>
      </c>
      <c r="H63" s="26" t="s">
        <v>3029</v>
      </c>
      <c r="I63" s="26" t="s">
        <v>3030</v>
      </c>
      <c r="J63" s="32">
        <f>(6045.6+1689.8)*100</f>
        <v>773540</v>
      </c>
      <c r="K63" s="32">
        <v>47.930799999999998</v>
      </c>
      <c r="L63" s="33">
        <f t="shared" si="5"/>
        <v>16138.68326837858</v>
      </c>
      <c r="M63" s="26">
        <v>60</v>
      </c>
      <c r="N63" s="37">
        <f t="shared" si="6"/>
        <v>12892.333333333334</v>
      </c>
      <c r="O63" s="38">
        <f t="shared" ca="1" si="7"/>
        <v>75</v>
      </c>
      <c r="P63" s="36">
        <f t="shared" ca="1" si="1"/>
        <v>-193385</v>
      </c>
      <c r="Q63" s="36">
        <f t="shared" ca="1" si="2"/>
        <v>1</v>
      </c>
      <c r="R63" s="50" t="s">
        <v>3037</v>
      </c>
    </row>
    <row r="64" spans="2:18" s="5" customFormat="1" ht="76.5" x14ac:dyDescent="0.25">
      <c r="B64" s="27">
        <v>43087</v>
      </c>
      <c r="C64" s="24" t="s">
        <v>2351</v>
      </c>
      <c r="D64" s="26" t="s">
        <v>3058</v>
      </c>
      <c r="E64" s="26" t="s">
        <v>3059</v>
      </c>
      <c r="F64" s="26" t="s">
        <v>3060</v>
      </c>
      <c r="G64" s="26" t="s">
        <v>3061</v>
      </c>
      <c r="H64" s="26" t="s">
        <v>23</v>
      </c>
      <c r="I64" s="26" t="s">
        <v>3024</v>
      </c>
      <c r="J64" s="32">
        <v>14543.5</v>
      </c>
      <c r="K64" s="32">
        <v>48.117199999999997</v>
      </c>
      <c r="L64" s="33">
        <f t="shared" si="5"/>
        <v>302.2515857115543</v>
      </c>
      <c r="M64" s="26">
        <v>60</v>
      </c>
      <c r="N64" s="37">
        <f t="shared" si="6"/>
        <v>242.39166666666668</v>
      </c>
      <c r="O64" s="38">
        <f t="shared" ca="1" si="7"/>
        <v>74</v>
      </c>
      <c r="P64" s="36">
        <f t="shared" ca="1" si="1"/>
        <v>-3393.4833333333336</v>
      </c>
      <c r="Q64" s="36">
        <f t="shared" ca="1" si="2"/>
        <v>1</v>
      </c>
      <c r="R64" s="50" t="s">
        <v>3062</v>
      </c>
    </row>
    <row r="65" spans="2:18" s="5" customFormat="1" ht="76.5" x14ac:dyDescent="0.25">
      <c r="B65" s="27">
        <v>43087</v>
      </c>
      <c r="C65" s="24" t="s">
        <v>2351</v>
      </c>
      <c r="D65" s="26" t="s">
        <v>3058</v>
      </c>
      <c r="E65" s="26" t="s">
        <v>3063</v>
      </c>
      <c r="F65" s="26" t="s">
        <v>3060</v>
      </c>
      <c r="G65" s="26" t="s">
        <v>3061</v>
      </c>
      <c r="H65" s="26" t="s">
        <v>23</v>
      </c>
      <c r="I65" s="26" t="s">
        <v>3024</v>
      </c>
      <c r="J65" s="32">
        <v>14543.5</v>
      </c>
      <c r="K65" s="32">
        <v>48.117199999999997</v>
      </c>
      <c r="L65" s="33">
        <f t="shared" si="5"/>
        <v>302.2515857115543</v>
      </c>
      <c r="M65" s="26">
        <v>60</v>
      </c>
      <c r="N65" s="37">
        <f t="shared" si="6"/>
        <v>242.39166666666668</v>
      </c>
      <c r="O65" s="38">
        <f t="shared" ca="1" si="7"/>
        <v>74</v>
      </c>
      <c r="P65" s="36">
        <f t="shared" ca="1" si="1"/>
        <v>-3393.4833333333336</v>
      </c>
      <c r="Q65" s="36">
        <f t="shared" ca="1" si="2"/>
        <v>1</v>
      </c>
      <c r="R65" s="50" t="s">
        <v>3062</v>
      </c>
    </row>
    <row r="66" spans="2:18" s="5" customFormat="1" ht="76.5" x14ac:dyDescent="0.25">
      <c r="B66" s="27">
        <v>43087</v>
      </c>
      <c r="C66" s="24" t="s">
        <v>2351</v>
      </c>
      <c r="D66" s="26" t="s">
        <v>3058</v>
      </c>
      <c r="E66" s="26" t="s">
        <v>3064</v>
      </c>
      <c r="F66" s="26" t="s">
        <v>3060</v>
      </c>
      <c r="G66" s="26" t="s">
        <v>3061</v>
      </c>
      <c r="H66" s="26" t="s">
        <v>23</v>
      </c>
      <c r="I66" s="26" t="s">
        <v>3024</v>
      </c>
      <c r="J66" s="32">
        <v>14543.5</v>
      </c>
      <c r="K66" s="32">
        <v>48.117199999999997</v>
      </c>
      <c r="L66" s="33">
        <f t="shared" si="5"/>
        <v>302.2515857115543</v>
      </c>
      <c r="M66" s="26">
        <v>60</v>
      </c>
      <c r="N66" s="37">
        <f t="shared" si="6"/>
        <v>242.39166666666668</v>
      </c>
      <c r="O66" s="38">
        <f t="shared" ca="1" si="7"/>
        <v>74</v>
      </c>
      <c r="P66" s="36">
        <f t="shared" ca="1" si="1"/>
        <v>-3393.4833333333336</v>
      </c>
      <c r="Q66" s="36">
        <f t="shared" ca="1" si="2"/>
        <v>1</v>
      </c>
      <c r="R66" s="50" t="s">
        <v>3062</v>
      </c>
    </row>
    <row r="67" spans="2:18" s="5" customFormat="1" ht="60.75" customHeight="1" x14ac:dyDescent="0.25">
      <c r="B67" s="27">
        <v>43087</v>
      </c>
      <c r="C67" s="24" t="s">
        <v>2351</v>
      </c>
      <c r="D67" s="26" t="s">
        <v>3058</v>
      </c>
      <c r="E67" s="26" t="s">
        <v>3065</v>
      </c>
      <c r="F67" s="26" t="s">
        <v>3060</v>
      </c>
      <c r="G67" s="26" t="s">
        <v>3061</v>
      </c>
      <c r="H67" s="26" t="s">
        <v>318</v>
      </c>
      <c r="I67" s="26" t="s">
        <v>3027</v>
      </c>
      <c r="J67" s="32">
        <v>14543.5</v>
      </c>
      <c r="K67" s="32">
        <v>48.117199999999997</v>
      </c>
      <c r="L67" s="33">
        <f t="shared" si="5"/>
        <v>302.2515857115543</v>
      </c>
      <c r="M67" s="26">
        <v>60</v>
      </c>
      <c r="N67" s="37">
        <f t="shared" si="6"/>
        <v>242.39166666666668</v>
      </c>
      <c r="O67" s="38">
        <f t="shared" ca="1" si="7"/>
        <v>74</v>
      </c>
      <c r="P67" s="36">
        <f t="shared" ca="1" si="1"/>
        <v>-3393.4833333333336</v>
      </c>
      <c r="Q67" s="36">
        <f t="shared" ca="1" si="2"/>
        <v>1</v>
      </c>
      <c r="R67" s="50" t="s">
        <v>3062</v>
      </c>
    </row>
    <row r="68" spans="2:18" s="5" customFormat="1" ht="67.5" customHeight="1" x14ac:dyDescent="0.25">
      <c r="B68" s="27">
        <v>43087</v>
      </c>
      <c r="C68" s="24" t="s">
        <v>2351</v>
      </c>
      <c r="D68" s="26" t="s">
        <v>3058</v>
      </c>
      <c r="E68" s="26" t="s">
        <v>3066</v>
      </c>
      <c r="F68" s="26" t="s">
        <v>3060</v>
      </c>
      <c r="G68" s="26" t="s">
        <v>3061</v>
      </c>
      <c r="H68" s="26" t="s">
        <v>318</v>
      </c>
      <c r="I68" s="26" t="s">
        <v>3027</v>
      </c>
      <c r="J68" s="32">
        <v>14543.5</v>
      </c>
      <c r="K68" s="32">
        <v>48.117199999999997</v>
      </c>
      <c r="L68" s="33">
        <f t="shared" si="5"/>
        <v>302.2515857115543</v>
      </c>
      <c r="M68" s="26">
        <v>60</v>
      </c>
      <c r="N68" s="37">
        <f t="shared" si="6"/>
        <v>242.39166666666668</v>
      </c>
      <c r="O68" s="38">
        <f t="shared" ca="1" si="7"/>
        <v>74</v>
      </c>
      <c r="P68" s="36">
        <f t="shared" ca="1" si="1"/>
        <v>-3393.4833333333336</v>
      </c>
      <c r="Q68" s="36">
        <f t="shared" ref="Q68:Q124" ca="1" si="8">IF(P68&lt;1,1,P68)</f>
        <v>1</v>
      </c>
      <c r="R68" s="50" t="s">
        <v>3062</v>
      </c>
    </row>
    <row r="69" spans="2:18" s="5" customFormat="1" ht="77.25" customHeight="1" x14ac:dyDescent="0.25">
      <c r="B69" s="27">
        <v>43087</v>
      </c>
      <c r="C69" s="24" t="s">
        <v>2351</v>
      </c>
      <c r="D69" s="26" t="s">
        <v>3058</v>
      </c>
      <c r="E69" s="26" t="s">
        <v>3067</v>
      </c>
      <c r="F69" s="26" t="s">
        <v>3060</v>
      </c>
      <c r="G69" s="26" t="s">
        <v>3061</v>
      </c>
      <c r="H69" s="26" t="s">
        <v>3029</v>
      </c>
      <c r="I69" s="26" t="s">
        <v>3030</v>
      </c>
      <c r="J69" s="32">
        <v>14543.5</v>
      </c>
      <c r="K69" s="32">
        <v>48.117199999999997</v>
      </c>
      <c r="L69" s="33">
        <f t="shared" si="5"/>
        <v>302.2515857115543</v>
      </c>
      <c r="M69" s="26">
        <v>60</v>
      </c>
      <c r="N69" s="37">
        <f t="shared" si="6"/>
        <v>242.39166666666668</v>
      </c>
      <c r="O69" s="38">
        <f t="shared" ca="1" si="7"/>
        <v>74</v>
      </c>
      <c r="P69" s="36">
        <f t="shared" ca="1" si="1"/>
        <v>-3393.4833333333336</v>
      </c>
      <c r="Q69" s="36">
        <f t="shared" ca="1" si="8"/>
        <v>1</v>
      </c>
      <c r="R69" s="50" t="s">
        <v>3062</v>
      </c>
    </row>
    <row r="70" spans="2:18" s="5" customFormat="1" ht="81" customHeight="1" x14ac:dyDescent="0.25">
      <c r="B70" s="27">
        <v>43087</v>
      </c>
      <c r="C70" s="24" t="s">
        <v>2351</v>
      </c>
      <c r="D70" s="26" t="s">
        <v>3058</v>
      </c>
      <c r="E70" s="26" t="s">
        <v>3068</v>
      </c>
      <c r="F70" s="26" t="s">
        <v>3060</v>
      </c>
      <c r="G70" s="26" t="s">
        <v>3061</v>
      </c>
      <c r="H70" s="26" t="s">
        <v>3029</v>
      </c>
      <c r="I70" s="26" t="s">
        <v>3030</v>
      </c>
      <c r="J70" s="32">
        <v>14543.5</v>
      </c>
      <c r="K70" s="32">
        <v>48.117199999999997</v>
      </c>
      <c r="L70" s="33">
        <f t="shared" si="5"/>
        <v>302.2515857115543</v>
      </c>
      <c r="M70" s="26">
        <v>60</v>
      </c>
      <c r="N70" s="37">
        <f t="shared" si="6"/>
        <v>242.39166666666668</v>
      </c>
      <c r="O70" s="38">
        <f t="shared" ca="1" si="7"/>
        <v>74</v>
      </c>
      <c r="P70" s="36">
        <f t="shared" ca="1" si="1"/>
        <v>-3393.4833333333336</v>
      </c>
      <c r="Q70" s="36">
        <f t="shared" ca="1" si="8"/>
        <v>1</v>
      </c>
      <c r="R70" s="50" t="s">
        <v>3062</v>
      </c>
    </row>
    <row r="71" spans="2:18" s="5" customFormat="1" ht="60.75" customHeight="1" x14ac:dyDescent="0.25">
      <c r="B71" s="27">
        <v>43087</v>
      </c>
      <c r="C71" s="24" t="s">
        <v>2351</v>
      </c>
      <c r="D71" s="26" t="s">
        <v>3058</v>
      </c>
      <c r="E71" s="26" t="s">
        <v>3069</v>
      </c>
      <c r="F71" s="26" t="s">
        <v>3060</v>
      </c>
      <c r="G71" s="26" t="s">
        <v>3061</v>
      </c>
      <c r="H71" s="26" t="s">
        <v>3032</v>
      </c>
      <c r="I71" s="26" t="s">
        <v>3033</v>
      </c>
      <c r="J71" s="32">
        <v>14543.5</v>
      </c>
      <c r="K71" s="32">
        <v>48.117199999999997</v>
      </c>
      <c r="L71" s="33">
        <f t="shared" si="5"/>
        <v>302.2515857115543</v>
      </c>
      <c r="M71" s="26">
        <v>60</v>
      </c>
      <c r="N71" s="37">
        <f t="shared" si="6"/>
        <v>242.39166666666668</v>
      </c>
      <c r="O71" s="38">
        <f t="shared" ca="1" si="7"/>
        <v>74</v>
      </c>
      <c r="P71" s="36">
        <f t="shared" ca="1" si="1"/>
        <v>-3393.4833333333336</v>
      </c>
      <c r="Q71" s="36">
        <f t="shared" ca="1" si="8"/>
        <v>1</v>
      </c>
      <c r="R71" s="50" t="s">
        <v>3062</v>
      </c>
    </row>
    <row r="72" spans="2:18" s="5" customFormat="1" ht="62.25" customHeight="1" x14ac:dyDescent="0.25">
      <c r="B72" s="27">
        <v>43087</v>
      </c>
      <c r="C72" s="24" t="s">
        <v>2351</v>
      </c>
      <c r="D72" s="26" t="s">
        <v>3058</v>
      </c>
      <c r="E72" s="26" t="s">
        <v>3070</v>
      </c>
      <c r="F72" s="26" t="s">
        <v>3060</v>
      </c>
      <c r="G72" s="26" t="s">
        <v>3061</v>
      </c>
      <c r="H72" s="26" t="s">
        <v>3032</v>
      </c>
      <c r="I72" s="26" t="s">
        <v>3033</v>
      </c>
      <c r="J72" s="32">
        <v>14543.5</v>
      </c>
      <c r="K72" s="32">
        <v>48.117199999999997</v>
      </c>
      <c r="L72" s="33">
        <f t="shared" si="5"/>
        <v>302.2515857115543</v>
      </c>
      <c r="M72" s="26">
        <v>60</v>
      </c>
      <c r="N72" s="37">
        <f t="shared" si="6"/>
        <v>242.39166666666668</v>
      </c>
      <c r="O72" s="38">
        <f t="shared" ca="1" si="7"/>
        <v>74</v>
      </c>
      <c r="P72" s="36">
        <f t="shared" ca="1" si="1"/>
        <v>-3393.4833333333336</v>
      </c>
      <c r="Q72" s="36">
        <f t="shared" ca="1" si="8"/>
        <v>1</v>
      </c>
      <c r="R72" s="50" t="s">
        <v>3062</v>
      </c>
    </row>
    <row r="73" spans="2:18" s="5" customFormat="1" ht="50.25" customHeight="1" x14ac:dyDescent="0.25">
      <c r="B73" s="27">
        <v>43087</v>
      </c>
      <c r="C73" s="24" t="s">
        <v>2351</v>
      </c>
      <c r="D73" s="26" t="s">
        <v>3058</v>
      </c>
      <c r="E73" s="26" t="s">
        <v>3071</v>
      </c>
      <c r="F73" s="26" t="s">
        <v>3072</v>
      </c>
      <c r="G73" s="26" t="s">
        <v>3073</v>
      </c>
      <c r="H73" s="26" t="s">
        <v>318</v>
      </c>
      <c r="I73" s="26" t="s">
        <v>3027</v>
      </c>
      <c r="J73" s="32">
        <v>4100.5</v>
      </c>
      <c r="K73" s="32">
        <v>48.117199999999997</v>
      </c>
      <c r="L73" s="33">
        <f t="shared" si="5"/>
        <v>85.219006924758716</v>
      </c>
      <c r="M73" s="26">
        <v>60</v>
      </c>
      <c r="N73" s="37">
        <f t="shared" si="6"/>
        <v>68.341666666666669</v>
      </c>
      <c r="O73" s="38">
        <f t="shared" ca="1" si="7"/>
        <v>74</v>
      </c>
      <c r="P73" s="36">
        <f t="shared" ref="P73:P136" ca="1" si="9">IF(OR(J73=0,M73=0,O73=0),0,J73-(N73*O73))</f>
        <v>-956.78333333333376</v>
      </c>
      <c r="Q73" s="36">
        <f t="shared" ca="1" si="8"/>
        <v>1</v>
      </c>
      <c r="R73" s="50" t="s">
        <v>3062</v>
      </c>
    </row>
    <row r="74" spans="2:18" s="5" customFormat="1" ht="68.25" customHeight="1" x14ac:dyDescent="0.25">
      <c r="B74" s="27">
        <v>43087</v>
      </c>
      <c r="C74" s="24" t="s">
        <v>2351</v>
      </c>
      <c r="D74" s="26" t="s">
        <v>3058</v>
      </c>
      <c r="E74" s="26" t="s">
        <v>3074</v>
      </c>
      <c r="F74" s="26" t="s">
        <v>3075</v>
      </c>
      <c r="G74" s="26" t="s">
        <v>3073</v>
      </c>
      <c r="H74" s="26" t="s">
        <v>318</v>
      </c>
      <c r="I74" s="26" t="s">
        <v>3027</v>
      </c>
      <c r="J74" s="32">
        <v>4100.5</v>
      </c>
      <c r="K74" s="32">
        <v>48.117199999999997</v>
      </c>
      <c r="L74" s="33">
        <f t="shared" si="5"/>
        <v>85.219006924758716</v>
      </c>
      <c r="M74" s="26">
        <v>60</v>
      </c>
      <c r="N74" s="37">
        <f t="shared" si="6"/>
        <v>68.341666666666669</v>
      </c>
      <c r="O74" s="38">
        <f t="shared" ca="1" si="7"/>
        <v>74</v>
      </c>
      <c r="P74" s="36">
        <f t="shared" ca="1" si="9"/>
        <v>-956.78333333333376</v>
      </c>
      <c r="Q74" s="36">
        <f t="shared" ca="1" si="8"/>
        <v>1</v>
      </c>
      <c r="R74" s="50" t="s">
        <v>3062</v>
      </c>
    </row>
    <row r="75" spans="2:18" s="5" customFormat="1" ht="64.5" customHeight="1" x14ac:dyDescent="0.25">
      <c r="B75" s="27">
        <v>43087</v>
      </c>
      <c r="C75" s="24" t="s">
        <v>2351</v>
      </c>
      <c r="D75" s="26" t="s">
        <v>3058</v>
      </c>
      <c r="E75" s="26" t="s">
        <v>3076</v>
      </c>
      <c r="F75" s="26" t="s">
        <v>3077</v>
      </c>
      <c r="G75" s="26" t="s">
        <v>3073</v>
      </c>
      <c r="H75" s="26" t="s">
        <v>318</v>
      </c>
      <c r="I75" s="26" t="s">
        <v>3027</v>
      </c>
      <c r="J75" s="32">
        <v>4100.5</v>
      </c>
      <c r="K75" s="32">
        <v>48.117199999999997</v>
      </c>
      <c r="L75" s="33">
        <f t="shared" si="5"/>
        <v>85.219006924758716</v>
      </c>
      <c r="M75" s="26">
        <v>60</v>
      </c>
      <c r="N75" s="37">
        <f t="shared" si="6"/>
        <v>68.341666666666669</v>
      </c>
      <c r="O75" s="38">
        <f t="shared" ca="1" si="7"/>
        <v>74</v>
      </c>
      <c r="P75" s="36">
        <f t="shared" ca="1" si="9"/>
        <v>-956.78333333333376</v>
      </c>
      <c r="Q75" s="36">
        <f t="shared" ca="1" si="8"/>
        <v>1</v>
      </c>
      <c r="R75" s="50" t="s">
        <v>3062</v>
      </c>
    </row>
    <row r="76" spans="2:18" s="5" customFormat="1" ht="51.75" customHeight="1" x14ac:dyDescent="0.25">
      <c r="B76" s="27">
        <v>43087</v>
      </c>
      <c r="C76" s="24" t="s">
        <v>2351</v>
      </c>
      <c r="D76" s="26" t="s">
        <v>3058</v>
      </c>
      <c r="E76" s="26" t="s">
        <v>3078</v>
      </c>
      <c r="F76" s="26" t="s">
        <v>3079</v>
      </c>
      <c r="G76" s="26" t="s">
        <v>3073</v>
      </c>
      <c r="H76" s="26" t="s">
        <v>318</v>
      </c>
      <c r="I76" s="26" t="s">
        <v>3027</v>
      </c>
      <c r="J76" s="32">
        <v>4100.5</v>
      </c>
      <c r="K76" s="32">
        <v>48.117199999999997</v>
      </c>
      <c r="L76" s="33">
        <f t="shared" si="5"/>
        <v>85.219006924758716</v>
      </c>
      <c r="M76" s="26">
        <v>60</v>
      </c>
      <c r="N76" s="37">
        <f t="shared" si="6"/>
        <v>68.341666666666669</v>
      </c>
      <c r="O76" s="38">
        <f t="shared" ca="1" si="7"/>
        <v>74</v>
      </c>
      <c r="P76" s="36">
        <f t="shared" ca="1" si="9"/>
        <v>-956.78333333333376</v>
      </c>
      <c r="Q76" s="36">
        <f t="shared" ca="1" si="8"/>
        <v>1</v>
      </c>
      <c r="R76" s="50" t="s">
        <v>3062</v>
      </c>
    </row>
    <row r="77" spans="2:18" s="5" customFormat="1" ht="76.5" x14ac:dyDescent="0.25">
      <c r="B77" s="27">
        <v>43087</v>
      </c>
      <c r="C77" s="24" t="s">
        <v>2351</v>
      </c>
      <c r="D77" s="26" t="s">
        <v>3058</v>
      </c>
      <c r="E77" s="26" t="s">
        <v>3080</v>
      </c>
      <c r="F77" s="26" t="s">
        <v>3081</v>
      </c>
      <c r="G77" s="26" t="s">
        <v>3082</v>
      </c>
      <c r="H77" s="26" t="s">
        <v>23</v>
      </c>
      <c r="I77" s="26" t="s">
        <v>3024</v>
      </c>
      <c r="J77" s="32">
        <v>5333.6</v>
      </c>
      <c r="K77" s="32">
        <v>48.117199999999997</v>
      </c>
      <c r="L77" s="33">
        <f t="shared" si="5"/>
        <v>110.84601764026171</v>
      </c>
      <c r="M77" s="26">
        <v>60</v>
      </c>
      <c r="N77" s="37">
        <f t="shared" si="6"/>
        <v>88.893333333333345</v>
      </c>
      <c r="O77" s="38">
        <f t="shared" ca="1" si="7"/>
        <v>74</v>
      </c>
      <c r="P77" s="36">
        <f t="shared" ca="1" si="9"/>
        <v>-1244.5066666666671</v>
      </c>
      <c r="Q77" s="36">
        <f t="shared" ca="1" si="8"/>
        <v>1</v>
      </c>
      <c r="R77" s="50" t="s">
        <v>3062</v>
      </c>
    </row>
    <row r="78" spans="2:18" s="5" customFormat="1" ht="62.25" customHeight="1" x14ac:dyDescent="0.25">
      <c r="B78" s="27">
        <v>43087</v>
      </c>
      <c r="C78" s="24" t="s">
        <v>2351</v>
      </c>
      <c r="D78" s="26" t="s">
        <v>3058</v>
      </c>
      <c r="E78" s="26" t="s">
        <v>3083</v>
      </c>
      <c r="F78" s="26" t="s">
        <v>3081</v>
      </c>
      <c r="G78" s="26" t="s">
        <v>3082</v>
      </c>
      <c r="H78" s="26" t="s">
        <v>318</v>
      </c>
      <c r="I78" s="26" t="s">
        <v>3027</v>
      </c>
      <c r="J78" s="32">
        <v>5333.6</v>
      </c>
      <c r="K78" s="32">
        <v>48.117199999999997</v>
      </c>
      <c r="L78" s="33">
        <f t="shared" si="5"/>
        <v>110.84601764026171</v>
      </c>
      <c r="M78" s="26">
        <v>60</v>
      </c>
      <c r="N78" s="37">
        <f t="shared" si="6"/>
        <v>88.893333333333345</v>
      </c>
      <c r="O78" s="38">
        <f t="shared" ca="1" si="7"/>
        <v>74</v>
      </c>
      <c r="P78" s="36">
        <f t="shared" ca="1" si="9"/>
        <v>-1244.5066666666671</v>
      </c>
      <c r="Q78" s="36">
        <f t="shared" ca="1" si="8"/>
        <v>1</v>
      </c>
      <c r="R78" s="50" t="s">
        <v>3062</v>
      </c>
    </row>
    <row r="79" spans="2:18" s="5" customFormat="1" ht="63.75" customHeight="1" x14ac:dyDescent="0.25">
      <c r="B79" s="27">
        <v>43087</v>
      </c>
      <c r="C79" s="24" t="s">
        <v>2351</v>
      </c>
      <c r="D79" s="26" t="s">
        <v>3058</v>
      </c>
      <c r="E79" s="26" t="s">
        <v>3084</v>
      </c>
      <c r="F79" s="26" t="s">
        <v>3081</v>
      </c>
      <c r="G79" s="26" t="s">
        <v>3082</v>
      </c>
      <c r="H79" s="26" t="s">
        <v>318</v>
      </c>
      <c r="I79" s="26" t="s">
        <v>3027</v>
      </c>
      <c r="J79" s="32">
        <v>5333.6</v>
      </c>
      <c r="K79" s="32">
        <v>48.117199999999997</v>
      </c>
      <c r="L79" s="33">
        <f t="shared" si="5"/>
        <v>110.84601764026171</v>
      </c>
      <c r="M79" s="26">
        <v>60</v>
      </c>
      <c r="N79" s="37">
        <f t="shared" si="6"/>
        <v>88.893333333333345</v>
      </c>
      <c r="O79" s="38">
        <f t="shared" ca="1" si="7"/>
        <v>74</v>
      </c>
      <c r="P79" s="36">
        <f t="shared" ca="1" si="9"/>
        <v>-1244.5066666666671</v>
      </c>
      <c r="Q79" s="36">
        <f t="shared" ca="1" si="8"/>
        <v>1</v>
      </c>
      <c r="R79" s="50" t="s">
        <v>3062</v>
      </c>
    </row>
    <row r="80" spans="2:18" s="5" customFormat="1" ht="75.75" customHeight="1" x14ac:dyDescent="0.25">
      <c r="B80" s="27">
        <v>43087</v>
      </c>
      <c r="C80" s="24" t="s">
        <v>2351</v>
      </c>
      <c r="D80" s="26" t="s">
        <v>3058</v>
      </c>
      <c r="E80" s="26" t="s">
        <v>3085</v>
      </c>
      <c r="F80" s="26" t="s">
        <v>3081</v>
      </c>
      <c r="G80" s="26" t="s">
        <v>3082</v>
      </c>
      <c r="H80" s="26" t="s">
        <v>3029</v>
      </c>
      <c r="I80" s="26" t="s">
        <v>3030</v>
      </c>
      <c r="J80" s="32">
        <v>5333.6</v>
      </c>
      <c r="K80" s="32">
        <v>48.117199999999997</v>
      </c>
      <c r="L80" s="33">
        <f t="shared" si="5"/>
        <v>110.84601764026171</v>
      </c>
      <c r="M80" s="26">
        <v>60</v>
      </c>
      <c r="N80" s="37">
        <f t="shared" si="6"/>
        <v>88.893333333333345</v>
      </c>
      <c r="O80" s="38">
        <f t="shared" ca="1" si="7"/>
        <v>74</v>
      </c>
      <c r="P80" s="36">
        <f t="shared" ca="1" si="9"/>
        <v>-1244.5066666666671</v>
      </c>
      <c r="Q80" s="36">
        <f t="shared" ca="1" si="8"/>
        <v>1</v>
      </c>
      <c r="R80" s="50" t="s">
        <v>3062</v>
      </c>
    </row>
    <row r="81" spans="2:18" s="5" customFormat="1" ht="72" customHeight="1" x14ac:dyDescent="0.25">
      <c r="B81" s="27">
        <v>43087</v>
      </c>
      <c r="C81" s="24" t="s">
        <v>2351</v>
      </c>
      <c r="D81" s="26" t="s">
        <v>3058</v>
      </c>
      <c r="E81" s="26" t="s">
        <v>3086</v>
      </c>
      <c r="F81" s="26" t="s">
        <v>3087</v>
      </c>
      <c r="G81" s="26" t="s">
        <v>3082</v>
      </c>
      <c r="H81" s="26" t="s">
        <v>3029</v>
      </c>
      <c r="I81" s="26" t="s">
        <v>3030</v>
      </c>
      <c r="J81" s="32">
        <v>5333.6</v>
      </c>
      <c r="K81" s="32">
        <v>48.117199999999997</v>
      </c>
      <c r="L81" s="33">
        <f t="shared" si="5"/>
        <v>110.84601764026171</v>
      </c>
      <c r="M81" s="26">
        <v>60</v>
      </c>
      <c r="N81" s="37">
        <f t="shared" si="6"/>
        <v>88.893333333333345</v>
      </c>
      <c r="O81" s="38">
        <f t="shared" ca="1" si="7"/>
        <v>74</v>
      </c>
      <c r="P81" s="36">
        <f t="shared" ca="1" si="9"/>
        <v>-1244.5066666666671</v>
      </c>
      <c r="Q81" s="36">
        <f t="shared" ca="1" si="8"/>
        <v>1</v>
      </c>
      <c r="R81" s="50" t="s">
        <v>3062</v>
      </c>
    </row>
    <row r="82" spans="2:18" s="5" customFormat="1" ht="66" customHeight="1" x14ac:dyDescent="0.25">
      <c r="B82" s="27">
        <v>43087</v>
      </c>
      <c r="C82" s="24" t="s">
        <v>2351</v>
      </c>
      <c r="D82" s="26" t="s">
        <v>3058</v>
      </c>
      <c r="E82" s="26" t="s">
        <v>3088</v>
      </c>
      <c r="F82" s="26" t="s">
        <v>3081</v>
      </c>
      <c r="G82" s="26" t="s">
        <v>3082</v>
      </c>
      <c r="H82" s="26" t="s">
        <v>3032</v>
      </c>
      <c r="I82" s="26" t="s">
        <v>3033</v>
      </c>
      <c r="J82" s="32">
        <v>5333.6</v>
      </c>
      <c r="K82" s="32">
        <v>48.117199999999997</v>
      </c>
      <c r="L82" s="33">
        <f t="shared" si="5"/>
        <v>110.84601764026171</v>
      </c>
      <c r="M82" s="26">
        <v>60</v>
      </c>
      <c r="N82" s="37">
        <f t="shared" si="6"/>
        <v>88.893333333333345</v>
      </c>
      <c r="O82" s="38">
        <f t="shared" ca="1" si="7"/>
        <v>74</v>
      </c>
      <c r="P82" s="36">
        <f t="shared" ca="1" si="9"/>
        <v>-1244.5066666666671</v>
      </c>
      <c r="Q82" s="36">
        <f t="shared" ca="1" si="8"/>
        <v>1</v>
      </c>
      <c r="R82" s="50" t="s">
        <v>3062</v>
      </c>
    </row>
    <row r="83" spans="2:18" s="5" customFormat="1" ht="62.25" customHeight="1" x14ac:dyDescent="0.25">
      <c r="B83" s="27">
        <v>43087</v>
      </c>
      <c r="C83" s="24" t="s">
        <v>2351</v>
      </c>
      <c r="D83" s="26" t="s">
        <v>3058</v>
      </c>
      <c r="E83" s="26" t="s">
        <v>3089</v>
      </c>
      <c r="F83" s="26" t="s">
        <v>3087</v>
      </c>
      <c r="G83" s="26" t="s">
        <v>3082</v>
      </c>
      <c r="H83" s="26" t="s">
        <v>3032</v>
      </c>
      <c r="I83" s="26" t="s">
        <v>3033</v>
      </c>
      <c r="J83" s="32">
        <v>5333.6</v>
      </c>
      <c r="K83" s="32">
        <v>48.117199999999997</v>
      </c>
      <c r="L83" s="33">
        <f t="shared" si="5"/>
        <v>110.84601764026171</v>
      </c>
      <c r="M83" s="26">
        <v>60</v>
      </c>
      <c r="N83" s="37">
        <f t="shared" si="6"/>
        <v>88.893333333333345</v>
      </c>
      <c r="O83" s="38">
        <f t="shared" ca="1" si="7"/>
        <v>74</v>
      </c>
      <c r="P83" s="36">
        <f t="shared" ca="1" si="9"/>
        <v>-1244.5066666666671</v>
      </c>
      <c r="Q83" s="36">
        <f t="shared" ca="1" si="8"/>
        <v>1</v>
      </c>
      <c r="R83" s="50" t="s">
        <v>3062</v>
      </c>
    </row>
    <row r="84" spans="2:18" s="5" customFormat="1" ht="75.75" customHeight="1" x14ac:dyDescent="0.25">
      <c r="B84" s="27">
        <v>43087</v>
      </c>
      <c r="C84" s="24" t="s">
        <v>2351</v>
      </c>
      <c r="D84" s="26" t="s">
        <v>3058</v>
      </c>
      <c r="E84" s="26" t="s">
        <v>3090</v>
      </c>
      <c r="F84" s="26" t="s">
        <v>3091</v>
      </c>
      <c r="G84" s="26" t="s">
        <v>3092</v>
      </c>
      <c r="H84" s="26" t="s">
        <v>23</v>
      </c>
      <c r="I84" s="26" t="s">
        <v>3024</v>
      </c>
      <c r="J84" s="32">
        <v>13275</v>
      </c>
      <c r="K84" s="32">
        <v>48.117199999999997</v>
      </c>
      <c r="L84" s="33">
        <f t="shared" si="5"/>
        <v>275.88887133914693</v>
      </c>
      <c r="M84" s="26">
        <v>60</v>
      </c>
      <c r="N84" s="37">
        <f t="shared" si="6"/>
        <v>221.25</v>
      </c>
      <c r="O84" s="38">
        <f t="shared" ca="1" si="7"/>
        <v>74</v>
      </c>
      <c r="P84" s="36">
        <f t="shared" ca="1" si="9"/>
        <v>-3097.5</v>
      </c>
      <c r="Q84" s="36">
        <f t="shared" ca="1" si="8"/>
        <v>1</v>
      </c>
      <c r="R84" s="50" t="s">
        <v>3062</v>
      </c>
    </row>
    <row r="85" spans="2:18" s="5" customFormat="1" ht="72.75" customHeight="1" x14ac:dyDescent="0.25">
      <c r="B85" s="27">
        <v>43087</v>
      </c>
      <c r="C85" s="24" t="s">
        <v>2351</v>
      </c>
      <c r="D85" s="26" t="s">
        <v>3058</v>
      </c>
      <c r="E85" s="26" t="s">
        <v>3093</v>
      </c>
      <c r="F85" s="26" t="s">
        <v>3091</v>
      </c>
      <c r="G85" s="26" t="s">
        <v>3092</v>
      </c>
      <c r="H85" s="26" t="s">
        <v>23</v>
      </c>
      <c r="I85" s="26" t="s">
        <v>3024</v>
      </c>
      <c r="J85" s="32">
        <v>13275</v>
      </c>
      <c r="K85" s="32">
        <v>48.117199999999997</v>
      </c>
      <c r="L85" s="33">
        <f t="shared" si="5"/>
        <v>275.88887133914693</v>
      </c>
      <c r="M85" s="26">
        <v>60</v>
      </c>
      <c r="N85" s="37">
        <f t="shared" si="6"/>
        <v>221.25</v>
      </c>
      <c r="O85" s="38">
        <f t="shared" ca="1" si="7"/>
        <v>74</v>
      </c>
      <c r="P85" s="36">
        <f t="shared" ca="1" si="9"/>
        <v>-3097.5</v>
      </c>
      <c r="Q85" s="36">
        <f t="shared" ca="1" si="8"/>
        <v>1</v>
      </c>
      <c r="R85" s="50" t="s">
        <v>3062</v>
      </c>
    </row>
    <row r="86" spans="2:18" s="5" customFormat="1" ht="61.5" customHeight="1" x14ac:dyDescent="0.25">
      <c r="B86" s="27">
        <v>43087</v>
      </c>
      <c r="C86" s="24" t="s">
        <v>2351</v>
      </c>
      <c r="D86" s="26" t="s">
        <v>3058</v>
      </c>
      <c r="E86" s="26" t="s">
        <v>3094</v>
      </c>
      <c r="F86" s="26" t="s">
        <v>3091</v>
      </c>
      <c r="G86" s="26" t="s">
        <v>3092</v>
      </c>
      <c r="H86" s="26" t="s">
        <v>318</v>
      </c>
      <c r="I86" s="26" t="s">
        <v>3027</v>
      </c>
      <c r="J86" s="32">
        <v>13275</v>
      </c>
      <c r="K86" s="32">
        <v>48.117199999999997</v>
      </c>
      <c r="L86" s="33">
        <f t="shared" si="5"/>
        <v>275.88887133914693</v>
      </c>
      <c r="M86" s="26">
        <v>60</v>
      </c>
      <c r="N86" s="37">
        <f t="shared" si="6"/>
        <v>221.25</v>
      </c>
      <c r="O86" s="38">
        <f t="shared" ca="1" si="7"/>
        <v>74</v>
      </c>
      <c r="P86" s="36">
        <f t="shared" ca="1" si="9"/>
        <v>-3097.5</v>
      </c>
      <c r="Q86" s="36">
        <f t="shared" ca="1" si="8"/>
        <v>1</v>
      </c>
      <c r="R86" s="50" t="s">
        <v>3062</v>
      </c>
    </row>
    <row r="87" spans="2:18" s="5" customFormat="1" ht="70.5" customHeight="1" x14ac:dyDescent="0.25">
      <c r="B87" s="27">
        <v>43087</v>
      </c>
      <c r="C87" s="24" t="s">
        <v>2351</v>
      </c>
      <c r="D87" s="26" t="s">
        <v>3058</v>
      </c>
      <c r="E87" s="26" t="s">
        <v>3095</v>
      </c>
      <c r="F87" s="26" t="s">
        <v>3091</v>
      </c>
      <c r="G87" s="26" t="s">
        <v>3092</v>
      </c>
      <c r="H87" s="26" t="s">
        <v>318</v>
      </c>
      <c r="I87" s="26" t="s">
        <v>3027</v>
      </c>
      <c r="J87" s="32">
        <v>13275</v>
      </c>
      <c r="K87" s="32">
        <v>48.117199999999997</v>
      </c>
      <c r="L87" s="33">
        <f t="shared" si="5"/>
        <v>275.88887133914693</v>
      </c>
      <c r="M87" s="26">
        <v>60</v>
      </c>
      <c r="N87" s="37">
        <f t="shared" si="6"/>
        <v>221.25</v>
      </c>
      <c r="O87" s="38">
        <f t="shared" ca="1" si="7"/>
        <v>74</v>
      </c>
      <c r="P87" s="36">
        <f t="shared" ca="1" si="9"/>
        <v>-3097.5</v>
      </c>
      <c r="Q87" s="36">
        <f t="shared" ca="1" si="8"/>
        <v>1</v>
      </c>
      <c r="R87" s="50" t="s">
        <v>3062</v>
      </c>
    </row>
    <row r="88" spans="2:18" s="5" customFormat="1" ht="67.5" customHeight="1" x14ac:dyDescent="0.25">
      <c r="B88" s="27">
        <v>43087</v>
      </c>
      <c r="C88" s="24" t="s">
        <v>2351</v>
      </c>
      <c r="D88" s="26" t="s">
        <v>3058</v>
      </c>
      <c r="E88" s="26" t="s">
        <v>3096</v>
      </c>
      <c r="F88" s="26" t="s">
        <v>3091</v>
      </c>
      <c r="G88" s="26" t="s">
        <v>3092</v>
      </c>
      <c r="H88" s="26" t="s">
        <v>3029</v>
      </c>
      <c r="I88" s="26" t="s">
        <v>3030</v>
      </c>
      <c r="J88" s="32">
        <v>13275</v>
      </c>
      <c r="K88" s="32">
        <v>48.117199999999997</v>
      </c>
      <c r="L88" s="33">
        <f t="shared" ref="L88:L138" si="10">+J88/K88</f>
        <v>275.88887133914693</v>
      </c>
      <c r="M88" s="26">
        <v>60</v>
      </c>
      <c r="N88" s="37">
        <f t="shared" ref="N88:N138" si="11">IF(AND(J88&lt;&gt;0,M88&lt;&gt;0),J88/M88,0)</f>
        <v>221.25</v>
      </c>
      <c r="O88" s="38">
        <f t="shared" ref="O88:O141" ca="1" si="12">IF(B88&lt;&gt;0,(ROUND((NOW()-B88)/30,0)),0)</f>
        <v>74</v>
      </c>
      <c r="P88" s="36">
        <f t="shared" ca="1" si="9"/>
        <v>-3097.5</v>
      </c>
      <c r="Q88" s="36">
        <f t="shared" ca="1" si="8"/>
        <v>1</v>
      </c>
      <c r="R88" s="50" t="s">
        <v>3062</v>
      </c>
    </row>
    <row r="89" spans="2:18" s="5" customFormat="1" ht="76.5" customHeight="1" x14ac:dyDescent="0.25">
      <c r="B89" s="27">
        <v>43087</v>
      </c>
      <c r="C89" s="24" t="s">
        <v>2351</v>
      </c>
      <c r="D89" s="26" t="s">
        <v>3058</v>
      </c>
      <c r="E89" s="26" t="s">
        <v>3097</v>
      </c>
      <c r="F89" s="26" t="s">
        <v>3091</v>
      </c>
      <c r="G89" s="26" t="s">
        <v>3092</v>
      </c>
      <c r="H89" s="26" t="s">
        <v>3029</v>
      </c>
      <c r="I89" s="26" t="s">
        <v>3030</v>
      </c>
      <c r="J89" s="32">
        <v>13275</v>
      </c>
      <c r="K89" s="32">
        <v>48.117199999999997</v>
      </c>
      <c r="L89" s="33">
        <f t="shared" si="10"/>
        <v>275.88887133914693</v>
      </c>
      <c r="M89" s="26">
        <v>60</v>
      </c>
      <c r="N89" s="37">
        <f t="shared" si="11"/>
        <v>221.25</v>
      </c>
      <c r="O89" s="38">
        <f t="shared" ca="1" si="12"/>
        <v>74</v>
      </c>
      <c r="P89" s="36">
        <f t="shared" ca="1" si="9"/>
        <v>-3097.5</v>
      </c>
      <c r="Q89" s="36">
        <f t="shared" ca="1" si="8"/>
        <v>1</v>
      </c>
      <c r="R89" s="50" t="s">
        <v>3062</v>
      </c>
    </row>
    <row r="90" spans="2:18" s="5" customFormat="1" ht="73.5" customHeight="1" x14ac:dyDescent="0.25">
      <c r="B90" s="27">
        <v>43087</v>
      </c>
      <c r="C90" s="24" t="s">
        <v>2351</v>
      </c>
      <c r="D90" s="26" t="s">
        <v>3058</v>
      </c>
      <c r="E90" s="26" t="s">
        <v>3098</v>
      </c>
      <c r="F90" s="26" t="s">
        <v>3099</v>
      </c>
      <c r="G90" s="26" t="s">
        <v>28</v>
      </c>
      <c r="H90" s="26" t="s">
        <v>23</v>
      </c>
      <c r="I90" s="26" t="s">
        <v>3024</v>
      </c>
      <c r="J90" s="32">
        <v>2301</v>
      </c>
      <c r="K90" s="32">
        <v>48.117199999999997</v>
      </c>
      <c r="L90" s="33">
        <f t="shared" si="10"/>
        <v>47.820737698785472</v>
      </c>
      <c r="M90" s="26">
        <v>60</v>
      </c>
      <c r="N90" s="37">
        <f t="shared" si="11"/>
        <v>38.35</v>
      </c>
      <c r="O90" s="38">
        <f t="shared" ca="1" si="12"/>
        <v>74</v>
      </c>
      <c r="P90" s="36">
        <f t="shared" ca="1" si="9"/>
        <v>-536.90000000000009</v>
      </c>
      <c r="Q90" s="36">
        <f t="shared" ca="1" si="8"/>
        <v>1</v>
      </c>
      <c r="R90" s="50" t="s">
        <v>3062</v>
      </c>
    </row>
    <row r="91" spans="2:18" s="5" customFormat="1" ht="73.5" customHeight="1" x14ac:dyDescent="0.25">
      <c r="B91" s="27">
        <v>43087</v>
      </c>
      <c r="C91" s="24" t="s">
        <v>2351</v>
      </c>
      <c r="D91" s="26" t="s">
        <v>3058</v>
      </c>
      <c r="E91" s="26" t="s">
        <v>3100</v>
      </c>
      <c r="F91" s="26" t="s">
        <v>3099</v>
      </c>
      <c r="G91" s="26" t="s">
        <v>28</v>
      </c>
      <c r="H91" s="26" t="s">
        <v>23</v>
      </c>
      <c r="I91" s="26" t="s">
        <v>3024</v>
      </c>
      <c r="J91" s="32">
        <v>2301</v>
      </c>
      <c r="K91" s="32">
        <v>48.117199999999997</v>
      </c>
      <c r="L91" s="33">
        <f t="shared" si="10"/>
        <v>47.820737698785472</v>
      </c>
      <c r="M91" s="26">
        <v>60</v>
      </c>
      <c r="N91" s="37">
        <f t="shared" si="11"/>
        <v>38.35</v>
      </c>
      <c r="O91" s="38">
        <f t="shared" ca="1" si="12"/>
        <v>74</v>
      </c>
      <c r="P91" s="36">
        <f t="shared" ca="1" si="9"/>
        <v>-536.90000000000009</v>
      </c>
      <c r="Q91" s="36">
        <f t="shared" ca="1" si="8"/>
        <v>1</v>
      </c>
      <c r="R91" s="50" t="s">
        <v>3062</v>
      </c>
    </row>
    <row r="92" spans="2:18" s="5" customFormat="1" ht="66" customHeight="1" x14ac:dyDescent="0.25">
      <c r="B92" s="27">
        <v>43087</v>
      </c>
      <c r="C92" s="24" t="s">
        <v>2351</v>
      </c>
      <c r="D92" s="26" t="s">
        <v>3058</v>
      </c>
      <c r="E92" s="26" t="s">
        <v>3101</v>
      </c>
      <c r="F92" s="26" t="s">
        <v>3099</v>
      </c>
      <c r="G92" s="26" t="s">
        <v>28</v>
      </c>
      <c r="H92" s="26" t="s">
        <v>318</v>
      </c>
      <c r="I92" s="26" t="s">
        <v>3027</v>
      </c>
      <c r="J92" s="32">
        <v>2301</v>
      </c>
      <c r="K92" s="32">
        <v>48.117199999999997</v>
      </c>
      <c r="L92" s="33">
        <f t="shared" si="10"/>
        <v>47.820737698785472</v>
      </c>
      <c r="M92" s="26">
        <v>60</v>
      </c>
      <c r="N92" s="37">
        <f t="shared" si="11"/>
        <v>38.35</v>
      </c>
      <c r="O92" s="38">
        <f t="shared" ca="1" si="12"/>
        <v>74</v>
      </c>
      <c r="P92" s="36">
        <f t="shared" ca="1" si="9"/>
        <v>-536.90000000000009</v>
      </c>
      <c r="Q92" s="36">
        <f t="shared" ca="1" si="8"/>
        <v>1</v>
      </c>
      <c r="R92" s="50" t="s">
        <v>3062</v>
      </c>
    </row>
    <row r="93" spans="2:18" s="5" customFormat="1" ht="66" customHeight="1" x14ac:dyDescent="0.25">
      <c r="B93" s="27">
        <v>43087</v>
      </c>
      <c r="C93" s="24" t="s">
        <v>2351</v>
      </c>
      <c r="D93" s="26" t="s">
        <v>3058</v>
      </c>
      <c r="E93" s="26" t="s">
        <v>3102</v>
      </c>
      <c r="F93" s="26" t="s">
        <v>3099</v>
      </c>
      <c r="G93" s="26" t="s">
        <v>28</v>
      </c>
      <c r="H93" s="26" t="s">
        <v>318</v>
      </c>
      <c r="I93" s="26" t="s">
        <v>3027</v>
      </c>
      <c r="J93" s="32">
        <v>2301</v>
      </c>
      <c r="K93" s="32">
        <v>48.117199999999997</v>
      </c>
      <c r="L93" s="33">
        <f t="shared" si="10"/>
        <v>47.820737698785472</v>
      </c>
      <c r="M93" s="26">
        <v>60</v>
      </c>
      <c r="N93" s="37">
        <f t="shared" si="11"/>
        <v>38.35</v>
      </c>
      <c r="O93" s="38">
        <f t="shared" ca="1" si="12"/>
        <v>74</v>
      </c>
      <c r="P93" s="36">
        <f t="shared" ca="1" si="9"/>
        <v>-536.90000000000009</v>
      </c>
      <c r="Q93" s="36">
        <f t="shared" ca="1" si="8"/>
        <v>1</v>
      </c>
      <c r="R93" s="50" t="s">
        <v>3062</v>
      </c>
    </row>
    <row r="94" spans="2:18" s="5" customFormat="1" ht="75" customHeight="1" x14ac:dyDescent="0.25">
      <c r="B94" s="27">
        <v>43087</v>
      </c>
      <c r="C94" s="24" t="s">
        <v>2351</v>
      </c>
      <c r="D94" s="26" t="s">
        <v>3058</v>
      </c>
      <c r="E94" s="26" t="s">
        <v>3103</v>
      </c>
      <c r="F94" s="26" t="s">
        <v>3099</v>
      </c>
      <c r="G94" s="26" t="s">
        <v>28</v>
      </c>
      <c r="H94" s="26" t="s">
        <v>3029</v>
      </c>
      <c r="I94" s="26" t="s">
        <v>3030</v>
      </c>
      <c r="J94" s="32">
        <v>2301</v>
      </c>
      <c r="K94" s="32">
        <v>48.117199999999997</v>
      </c>
      <c r="L94" s="33">
        <f t="shared" si="10"/>
        <v>47.820737698785472</v>
      </c>
      <c r="M94" s="26">
        <v>60</v>
      </c>
      <c r="N94" s="37">
        <f t="shared" si="11"/>
        <v>38.35</v>
      </c>
      <c r="O94" s="38">
        <f t="shared" ca="1" si="12"/>
        <v>74</v>
      </c>
      <c r="P94" s="36">
        <f t="shared" ca="1" si="9"/>
        <v>-536.90000000000009</v>
      </c>
      <c r="Q94" s="36">
        <f t="shared" ca="1" si="8"/>
        <v>1</v>
      </c>
      <c r="R94" s="50" t="s">
        <v>3062</v>
      </c>
    </row>
    <row r="95" spans="2:18" s="5" customFormat="1" ht="73.5" customHeight="1" x14ac:dyDescent="0.25">
      <c r="B95" s="27">
        <v>43087</v>
      </c>
      <c r="C95" s="24" t="s">
        <v>2351</v>
      </c>
      <c r="D95" s="26" t="s">
        <v>3058</v>
      </c>
      <c r="E95" s="26" t="s">
        <v>3104</v>
      </c>
      <c r="F95" s="26" t="s">
        <v>3099</v>
      </c>
      <c r="G95" s="26" t="s">
        <v>28</v>
      </c>
      <c r="H95" s="26" t="s">
        <v>3029</v>
      </c>
      <c r="I95" s="26" t="s">
        <v>3030</v>
      </c>
      <c r="J95" s="32">
        <v>2301</v>
      </c>
      <c r="K95" s="32">
        <v>48.117199999999997</v>
      </c>
      <c r="L95" s="33">
        <f t="shared" si="10"/>
        <v>47.820737698785472</v>
      </c>
      <c r="M95" s="26">
        <v>60</v>
      </c>
      <c r="N95" s="37">
        <f t="shared" si="11"/>
        <v>38.35</v>
      </c>
      <c r="O95" s="38">
        <f t="shared" ca="1" si="12"/>
        <v>74</v>
      </c>
      <c r="P95" s="36">
        <f t="shared" ca="1" si="9"/>
        <v>-536.90000000000009</v>
      </c>
      <c r="Q95" s="36">
        <f t="shared" ca="1" si="8"/>
        <v>1</v>
      </c>
      <c r="R95" s="50" t="s">
        <v>3062</v>
      </c>
    </row>
    <row r="96" spans="2:18" s="5" customFormat="1" ht="68.25" customHeight="1" x14ac:dyDescent="0.25">
      <c r="B96" s="27">
        <v>43087</v>
      </c>
      <c r="C96" s="24" t="s">
        <v>2351</v>
      </c>
      <c r="D96" s="26" t="s">
        <v>3058</v>
      </c>
      <c r="E96" s="26" t="s">
        <v>3105</v>
      </c>
      <c r="F96" s="26" t="s">
        <v>3099</v>
      </c>
      <c r="G96" s="26" t="s">
        <v>28</v>
      </c>
      <c r="H96" s="26" t="s">
        <v>3032</v>
      </c>
      <c r="I96" s="26" t="s">
        <v>3033</v>
      </c>
      <c r="J96" s="32">
        <v>2301</v>
      </c>
      <c r="K96" s="32">
        <v>48.117199999999997</v>
      </c>
      <c r="L96" s="33">
        <f t="shared" si="10"/>
        <v>47.820737698785472</v>
      </c>
      <c r="M96" s="26">
        <v>60</v>
      </c>
      <c r="N96" s="37">
        <f t="shared" si="11"/>
        <v>38.35</v>
      </c>
      <c r="O96" s="38">
        <f t="shared" ca="1" si="12"/>
        <v>74</v>
      </c>
      <c r="P96" s="36">
        <f t="shared" ca="1" si="9"/>
        <v>-536.90000000000009</v>
      </c>
      <c r="Q96" s="36">
        <f t="shared" ca="1" si="8"/>
        <v>1</v>
      </c>
      <c r="R96" s="50" t="s">
        <v>3062</v>
      </c>
    </row>
    <row r="97" spans="1:18" s="5" customFormat="1" ht="63.75" customHeight="1" x14ac:dyDescent="0.25">
      <c r="A97" s="5" t="s">
        <v>2050</v>
      </c>
      <c r="B97" s="27">
        <v>43087</v>
      </c>
      <c r="C97" s="24" t="s">
        <v>2351</v>
      </c>
      <c r="D97" s="26" t="s">
        <v>3058</v>
      </c>
      <c r="E97" s="26" t="s">
        <v>3106</v>
      </c>
      <c r="F97" s="26" t="s">
        <v>3099</v>
      </c>
      <c r="G97" s="26" t="s">
        <v>28</v>
      </c>
      <c r="H97" s="26" t="s">
        <v>3032</v>
      </c>
      <c r="I97" s="26" t="s">
        <v>3033</v>
      </c>
      <c r="J97" s="32">
        <v>2301</v>
      </c>
      <c r="K97" s="32">
        <v>48.117199999999997</v>
      </c>
      <c r="L97" s="33">
        <f t="shared" si="10"/>
        <v>47.820737698785472</v>
      </c>
      <c r="M97" s="26">
        <v>60</v>
      </c>
      <c r="N97" s="37">
        <f t="shared" si="11"/>
        <v>38.35</v>
      </c>
      <c r="O97" s="38">
        <f t="shared" ca="1" si="12"/>
        <v>74</v>
      </c>
      <c r="P97" s="36">
        <f t="shared" ca="1" si="9"/>
        <v>-536.90000000000009</v>
      </c>
      <c r="Q97" s="36">
        <f t="shared" ca="1" si="8"/>
        <v>1</v>
      </c>
      <c r="R97" s="50" t="s">
        <v>3062</v>
      </c>
    </row>
    <row r="98" spans="1:18" s="5" customFormat="1" ht="79.5" customHeight="1" x14ac:dyDescent="0.25">
      <c r="B98" s="27">
        <v>43087</v>
      </c>
      <c r="C98" s="24" t="s">
        <v>2351</v>
      </c>
      <c r="D98" s="26" t="s">
        <v>3107</v>
      </c>
      <c r="E98" s="26" t="s">
        <v>3108</v>
      </c>
      <c r="F98" s="26" t="s">
        <v>3109</v>
      </c>
      <c r="G98" s="26" t="s">
        <v>3110</v>
      </c>
      <c r="H98" s="26" t="s">
        <v>23</v>
      </c>
      <c r="I98" s="26" t="s">
        <v>3024</v>
      </c>
      <c r="J98" s="32">
        <v>32025</v>
      </c>
      <c r="K98" s="32">
        <v>48.117199999999997</v>
      </c>
      <c r="L98" s="33">
        <f t="shared" si="10"/>
        <v>665.56241842833754</v>
      </c>
      <c r="M98" s="26">
        <v>60</v>
      </c>
      <c r="N98" s="37">
        <f t="shared" si="11"/>
        <v>533.75</v>
      </c>
      <c r="O98" s="38">
        <f t="shared" ca="1" si="12"/>
        <v>74</v>
      </c>
      <c r="P98" s="36">
        <f t="shared" ca="1" si="9"/>
        <v>-7472.5</v>
      </c>
      <c r="Q98" s="36">
        <f t="shared" ca="1" si="8"/>
        <v>1</v>
      </c>
      <c r="R98" s="50" t="s">
        <v>1328</v>
      </c>
    </row>
    <row r="99" spans="1:18" s="5" customFormat="1" ht="79.5" customHeight="1" x14ac:dyDescent="0.25">
      <c r="B99" s="27">
        <v>43087</v>
      </c>
      <c r="C99" s="24" t="s">
        <v>2351</v>
      </c>
      <c r="D99" s="26" t="s">
        <v>3107</v>
      </c>
      <c r="E99" s="26" t="s">
        <v>3111</v>
      </c>
      <c r="F99" s="26" t="s">
        <v>3109</v>
      </c>
      <c r="G99" s="26" t="s">
        <v>3112</v>
      </c>
      <c r="H99" s="26" t="s">
        <v>23</v>
      </c>
      <c r="I99" s="26" t="s">
        <v>3024</v>
      </c>
      <c r="J99" s="32">
        <v>32025</v>
      </c>
      <c r="K99" s="32">
        <v>48.117199999999997</v>
      </c>
      <c r="L99" s="33">
        <f t="shared" si="10"/>
        <v>665.56241842833754</v>
      </c>
      <c r="M99" s="26">
        <v>60</v>
      </c>
      <c r="N99" s="37">
        <f t="shared" si="11"/>
        <v>533.75</v>
      </c>
      <c r="O99" s="38">
        <f t="shared" ca="1" si="12"/>
        <v>74</v>
      </c>
      <c r="P99" s="36">
        <f t="shared" ca="1" si="9"/>
        <v>-7472.5</v>
      </c>
      <c r="Q99" s="36">
        <f t="shared" ca="1" si="8"/>
        <v>1</v>
      </c>
      <c r="R99" s="50" t="s">
        <v>1328</v>
      </c>
    </row>
    <row r="100" spans="1:18" s="5" customFormat="1" ht="65.25" customHeight="1" x14ac:dyDescent="0.25">
      <c r="B100" s="27">
        <v>43087</v>
      </c>
      <c r="C100" s="24" t="s">
        <v>2351</v>
      </c>
      <c r="D100" s="26" t="s">
        <v>3107</v>
      </c>
      <c r="E100" s="26" t="s">
        <v>3113</v>
      </c>
      <c r="F100" s="26" t="s">
        <v>3109</v>
      </c>
      <c r="G100" s="26" t="s">
        <v>3114</v>
      </c>
      <c r="H100" s="26" t="s">
        <v>318</v>
      </c>
      <c r="I100" s="26" t="s">
        <v>3027</v>
      </c>
      <c r="J100" s="32">
        <v>32025</v>
      </c>
      <c r="K100" s="32">
        <v>48.117199999999997</v>
      </c>
      <c r="L100" s="33">
        <f t="shared" si="10"/>
        <v>665.56241842833754</v>
      </c>
      <c r="M100" s="26">
        <v>60</v>
      </c>
      <c r="N100" s="37">
        <f t="shared" si="11"/>
        <v>533.75</v>
      </c>
      <c r="O100" s="38">
        <f t="shared" ca="1" si="12"/>
        <v>74</v>
      </c>
      <c r="P100" s="36">
        <f t="shared" ca="1" si="9"/>
        <v>-7472.5</v>
      </c>
      <c r="Q100" s="36">
        <f t="shared" ca="1" si="8"/>
        <v>1</v>
      </c>
      <c r="R100" s="50" t="s">
        <v>1328</v>
      </c>
    </row>
    <row r="101" spans="1:18" s="5" customFormat="1" ht="72.75" customHeight="1" x14ac:dyDescent="0.25">
      <c r="B101" s="27">
        <v>43087</v>
      </c>
      <c r="C101" s="24" t="s">
        <v>2351</v>
      </c>
      <c r="D101" s="26" t="s">
        <v>3107</v>
      </c>
      <c r="E101" s="26" t="s">
        <v>3115</v>
      </c>
      <c r="F101" s="26" t="s">
        <v>3109</v>
      </c>
      <c r="G101" s="26" t="s">
        <v>3116</v>
      </c>
      <c r="H101" s="26" t="s">
        <v>318</v>
      </c>
      <c r="I101" s="26" t="s">
        <v>3027</v>
      </c>
      <c r="J101" s="32">
        <v>32025</v>
      </c>
      <c r="K101" s="32">
        <v>48.117199999999997</v>
      </c>
      <c r="L101" s="33">
        <f t="shared" si="10"/>
        <v>665.56241842833754</v>
      </c>
      <c r="M101" s="26">
        <v>60</v>
      </c>
      <c r="N101" s="37">
        <f t="shared" si="11"/>
        <v>533.75</v>
      </c>
      <c r="O101" s="38">
        <f t="shared" ca="1" si="12"/>
        <v>74</v>
      </c>
      <c r="P101" s="36">
        <f t="shared" ca="1" si="9"/>
        <v>-7472.5</v>
      </c>
      <c r="Q101" s="36">
        <f t="shared" ca="1" si="8"/>
        <v>1</v>
      </c>
      <c r="R101" s="50" t="s">
        <v>1328</v>
      </c>
    </row>
    <row r="102" spans="1:18" s="5" customFormat="1" ht="81.75" customHeight="1" x14ac:dyDescent="0.25">
      <c r="B102" s="27">
        <v>43087</v>
      </c>
      <c r="C102" s="24" t="s">
        <v>2351</v>
      </c>
      <c r="D102" s="26" t="s">
        <v>3107</v>
      </c>
      <c r="E102" s="26" t="s">
        <v>3117</v>
      </c>
      <c r="F102" s="26" t="s">
        <v>3109</v>
      </c>
      <c r="G102" s="26" t="s">
        <v>3118</v>
      </c>
      <c r="H102" s="26" t="s">
        <v>3029</v>
      </c>
      <c r="I102" s="26" t="s">
        <v>3030</v>
      </c>
      <c r="J102" s="32">
        <v>32025</v>
      </c>
      <c r="K102" s="32">
        <v>48.117199999999997</v>
      </c>
      <c r="L102" s="33">
        <f t="shared" si="10"/>
        <v>665.56241842833754</v>
      </c>
      <c r="M102" s="26">
        <v>60</v>
      </c>
      <c r="N102" s="37">
        <f t="shared" si="11"/>
        <v>533.75</v>
      </c>
      <c r="O102" s="38">
        <f t="shared" ca="1" si="12"/>
        <v>74</v>
      </c>
      <c r="P102" s="36">
        <f t="shared" ca="1" si="9"/>
        <v>-7472.5</v>
      </c>
      <c r="Q102" s="36">
        <f t="shared" ca="1" si="8"/>
        <v>1</v>
      </c>
      <c r="R102" s="50" t="s">
        <v>1328</v>
      </c>
    </row>
    <row r="103" spans="1:18" s="5" customFormat="1" ht="78" customHeight="1" x14ac:dyDescent="0.25">
      <c r="B103" s="27">
        <v>43087</v>
      </c>
      <c r="C103" s="24" t="s">
        <v>2351</v>
      </c>
      <c r="D103" s="26" t="s">
        <v>3107</v>
      </c>
      <c r="E103" s="26" t="s">
        <v>3119</v>
      </c>
      <c r="F103" s="26" t="s">
        <v>3109</v>
      </c>
      <c r="G103" s="26" t="s">
        <v>3120</v>
      </c>
      <c r="H103" s="26" t="s">
        <v>3029</v>
      </c>
      <c r="I103" s="26" t="s">
        <v>3030</v>
      </c>
      <c r="J103" s="32">
        <v>32025</v>
      </c>
      <c r="K103" s="32">
        <v>48.117199999999997</v>
      </c>
      <c r="L103" s="33">
        <f t="shared" si="10"/>
        <v>665.56241842833754</v>
      </c>
      <c r="M103" s="26">
        <v>60</v>
      </c>
      <c r="N103" s="37">
        <f t="shared" si="11"/>
        <v>533.75</v>
      </c>
      <c r="O103" s="38">
        <f t="shared" ca="1" si="12"/>
        <v>74</v>
      </c>
      <c r="P103" s="36">
        <f t="shared" ca="1" si="9"/>
        <v>-7472.5</v>
      </c>
      <c r="Q103" s="36">
        <f t="shared" ca="1" si="8"/>
        <v>1</v>
      </c>
      <c r="R103" s="50" t="s">
        <v>1328</v>
      </c>
    </row>
    <row r="104" spans="1:18" s="5" customFormat="1" ht="76.5" customHeight="1" x14ac:dyDescent="0.25">
      <c r="B104" s="27">
        <v>43087</v>
      </c>
      <c r="C104" s="24" t="s">
        <v>2351</v>
      </c>
      <c r="D104" s="26" t="s">
        <v>3107</v>
      </c>
      <c r="E104" s="26" t="s">
        <v>3121</v>
      </c>
      <c r="F104" s="26" t="s">
        <v>3122</v>
      </c>
      <c r="G104" s="26" t="s">
        <v>3123</v>
      </c>
      <c r="H104" s="26" t="s">
        <v>23</v>
      </c>
      <c r="I104" s="26" t="s">
        <v>3024</v>
      </c>
      <c r="J104" s="32">
        <v>14519.99</v>
      </c>
      <c r="K104" s="32">
        <v>48.117199999999997</v>
      </c>
      <c r="L104" s="33">
        <f t="shared" si="10"/>
        <v>301.76298703997742</v>
      </c>
      <c r="M104" s="26">
        <v>60</v>
      </c>
      <c r="N104" s="37">
        <f t="shared" si="11"/>
        <v>241.99983333333333</v>
      </c>
      <c r="O104" s="38">
        <f t="shared" ca="1" si="12"/>
        <v>74</v>
      </c>
      <c r="P104" s="36">
        <f t="shared" ca="1" si="9"/>
        <v>-3387.997666666668</v>
      </c>
      <c r="Q104" s="36">
        <f t="shared" ca="1" si="8"/>
        <v>1</v>
      </c>
      <c r="R104" s="50" t="s">
        <v>1328</v>
      </c>
    </row>
    <row r="105" spans="1:18" s="5" customFormat="1" ht="62.25" customHeight="1" x14ac:dyDescent="0.25">
      <c r="B105" s="27">
        <v>43087</v>
      </c>
      <c r="C105" s="24" t="s">
        <v>2351</v>
      </c>
      <c r="D105" s="26" t="s">
        <v>3107</v>
      </c>
      <c r="E105" s="26" t="s">
        <v>3124</v>
      </c>
      <c r="F105" s="26" t="s">
        <v>3122</v>
      </c>
      <c r="G105" s="26" t="s">
        <v>3125</v>
      </c>
      <c r="H105" s="26" t="s">
        <v>318</v>
      </c>
      <c r="I105" s="26" t="s">
        <v>3027</v>
      </c>
      <c r="J105" s="32">
        <v>14519.99</v>
      </c>
      <c r="K105" s="32">
        <v>48.117199999999997</v>
      </c>
      <c r="L105" s="33">
        <f t="shared" si="10"/>
        <v>301.76298703997742</v>
      </c>
      <c r="M105" s="26">
        <v>60</v>
      </c>
      <c r="N105" s="37">
        <f t="shared" si="11"/>
        <v>241.99983333333333</v>
      </c>
      <c r="O105" s="38">
        <f t="shared" ca="1" si="12"/>
        <v>74</v>
      </c>
      <c r="P105" s="36">
        <f t="shared" ca="1" si="9"/>
        <v>-3387.997666666668</v>
      </c>
      <c r="Q105" s="36">
        <f t="shared" ca="1" si="8"/>
        <v>1</v>
      </c>
      <c r="R105" s="50" t="s">
        <v>1328</v>
      </c>
    </row>
    <row r="106" spans="1:18" s="5" customFormat="1" ht="81" customHeight="1" x14ac:dyDescent="0.25">
      <c r="B106" s="27">
        <v>43087</v>
      </c>
      <c r="C106" s="24" t="s">
        <v>2351</v>
      </c>
      <c r="D106" s="26" t="s">
        <v>3107</v>
      </c>
      <c r="E106" s="26" t="s">
        <v>3126</v>
      </c>
      <c r="F106" s="26" t="s">
        <v>3122</v>
      </c>
      <c r="G106" s="26" t="s">
        <v>3127</v>
      </c>
      <c r="H106" s="26" t="s">
        <v>3029</v>
      </c>
      <c r="I106" s="26" t="s">
        <v>3030</v>
      </c>
      <c r="J106" s="32">
        <v>14519.99</v>
      </c>
      <c r="K106" s="32">
        <v>48.117199999999997</v>
      </c>
      <c r="L106" s="33">
        <f t="shared" si="10"/>
        <v>301.76298703997742</v>
      </c>
      <c r="M106" s="26">
        <v>60</v>
      </c>
      <c r="N106" s="37">
        <f t="shared" si="11"/>
        <v>241.99983333333333</v>
      </c>
      <c r="O106" s="38">
        <f t="shared" ca="1" si="12"/>
        <v>74</v>
      </c>
      <c r="P106" s="36">
        <f t="shared" ca="1" si="9"/>
        <v>-3387.997666666668</v>
      </c>
      <c r="Q106" s="36">
        <f t="shared" ca="1" si="8"/>
        <v>1</v>
      </c>
      <c r="R106" s="50" t="s">
        <v>1328</v>
      </c>
    </row>
    <row r="107" spans="1:18" s="5" customFormat="1" ht="76.5" customHeight="1" x14ac:dyDescent="0.25">
      <c r="B107" s="27">
        <v>43087</v>
      </c>
      <c r="C107" s="24" t="s">
        <v>2351</v>
      </c>
      <c r="D107" s="26" t="s">
        <v>3107</v>
      </c>
      <c r="E107" s="26" t="s">
        <v>3128</v>
      </c>
      <c r="F107" s="26" t="s">
        <v>3129</v>
      </c>
      <c r="G107" s="44" t="s">
        <v>3130</v>
      </c>
      <c r="H107" s="26" t="s">
        <v>23</v>
      </c>
      <c r="I107" s="26" t="s">
        <v>3024</v>
      </c>
      <c r="J107" s="32">
        <v>1850.0045</v>
      </c>
      <c r="K107" s="32">
        <v>48.117199999999997</v>
      </c>
      <c r="L107" s="33">
        <f t="shared" si="10"/>
        <v>38.447883501118106</v>
      </c>
      <c r="M107" s="26">
        <v>60</v>
      </c>
      <c r="N107" s="37">
        <f t="shared" si="11"/>
        <v>30.833408333333335</v>
      </c>
      <c r="O107" s="38">
        <f t="shared" ca="1" si="12"/>
        <v>74</v>
      </c>
      <c r="P107" s="36">
        <f t="shared" ca="1" si="9"/>
        <v>-431.66771666666682</v>
      </c>
      <c r="Q107" s="36">
        <f t="shared" ca="1" si="8"/>
        <v>1</v>
      </c>
      <c r="R107" s="50" t="s">
        <v>1328</v>
      </c>
    </row>
    <row r="108" spans="1:18" s="5" customFormat="1" ht="78" customHeight="1" x14ac:dyDescent="0.25">
      <c r="B108" s="27">
        <v>43087</v>
      </c>
      <c r="C108" s="24" t="s">
        <v>2351</v>
      </c>
      <c r="D108" s="26" t="s">
        <v>3107</v>
      </c>
      <c r="E108" s="26" t="s">
        <v>3131</v>
      </c>
      <c r="F108" s="26" t="s">
        <v>3129</v>
      </c>
      <c r="G108" s="44" t="s">
        <v>3132</v>
      </c>
      <c r="H108" s="26" t="s">
        <v>23</v>
      </c>
      <c r="I108" s="26" t="s">
        <v>3024</v>
      </c>
      <c r="J108" s="32">
        <v>1850.0045</v>
      </c>
      <c r="K108" s="32">
        <v>48.117199999999997</v>
      </c>
      <c r="L108" s="33">
        <f t="shared" si="10"/>
        <v>38.447883501118106</v>
      </c>
      <c r="M108" s="26">
        <v>60</v>
      </c>
      <c r="N108" s="37">
        <f t="shared" si="11"/>
        <v>30.833408333333335</v>
      </c>
      <c r="O108" s="38">
        <f t="shared" ca="1" si="12"/>
        <v>74</v>
      </c>
      <c r="P108" s="36">
        <f t="shared" ca="1" si="9"/>
        <v>-431.66771666666682</v>
      </c>
      <c r="Q108" s="36">
        <f t="shared" ca="1" si="8"/>
        <v>1</v>
      </c>
      <c r="R108" s="50" t="s">
        <v>1328</v>
      </c>
    </row>
    <row r="109" spans="1:18" s="5" customFormat="1" ht="70.5" customHeight="1" x14ac:dyDescent="0.25">
      <c r="B109" s="27">
        <v>43087</v>
      </c>
      <c r="C109" s="24" t="s">
        <v>2351</v>
      </c>
      <c r="D109" s="26" t="s">
        <v>3107</v>
      </c>
      <c r="E109" s="26" t="s">
        <v>3133</v>
      </c>
      <c r="F109" s="26" t="s">
        <v>3129</v>
      </c>
      <c r="G109" s="44" t="s">
        <v>3134</v>
      </c>
      <c r="H109" s="26" t="s">
        <v>318</v>
      </c>
      <c r="I109" s="26" t="s">
        <v>3027</v>
      </c>
      <c r="J109" s="32">
        <v>1850.0045</v>
      </c>
      <c r="K109" s="32">
        <v>48.117199999999997</v>
      </c>
      <c r="L109" s="33">
        <f t="shared" si="10"/>
        <v>38.447883501118106</v>
      </c>
      <c r="M109" s="26">
        <v>60</v>
      </c>
      <c r="N109" s="37">
        <f t="shared" si="11"/>
        <v>30.833408333333335</v>
      </c>
      <c r="O109" s="38">
        <f t="shared" ca="1" si="12"/>
        <v>74</v>
      </c>
      <c r="P109" s="36">
        <f t="shared" ca="1" si="9"/>
        <v>-431.66771666666682</v>
      </c>
      <c r="Q109" s="36">
        <f t="shared" ca="1" si="8"/>
        <v>1</v>
      </c>
      <c r="R109" s="50" t="s">
        <v>1328</v>
      </c>
    </row>
    <row r="110" spans="1:18" s="5" customFormat="1" ht="63" customHeight="1" x14ac:dyDescent="0.25">
      <c r="B110" s="27">
        <v>43087</v>
      </c>
      <c r="C110" s="24" t="s">
        <v>2351</v>
      </c>
      <c r="D110" s="26" t="s">
        <v>3107</v>
      </c>
      <c r="E110" s="26" t="s">
        <v>3135</v>
      </c>
      <c r="F110" s="26" t="s">
        <v>3129</v>
      </c>
      <c r="G110" s="44" t="s">
        <v>3136</v>
      </c>
      <c r="H110" s="26" t="s">
        <v>318</v>
      </c>
      <c r="I110" s="26" t="s">
        <v>3027</v>
      </c>
      <c r="J110" s="32">
        <v>1850.0045</v>
      </c>
      <c r="K110" s="32">
        <v>48.117199999999997</v>
      </c>
      <c r="L110" s="33">
        <f t="shared" si="10"/>
        <v>38.447883501118106</v>
      </c>
      <c r="M110" s="26">
        <v>60</v>
      </c>
      <c r="N110" s="37">
        <f t="shared" si="11"/>
        <v>30.833408333333335</v>
      </c>
      <c r="O110" s="38">
        <f t="shared" ca="1" si="12"/>
        <v>74</v>
      </c>
      <c r="P110" s="36">
        <f t="shared" ca="1" si="9"/>
        <v>-431.66771666666682</v>
      </c>
      <c r="Q110" s="36">
        <f t="shared" ca="1" si="8"/>
        <v>1</v>
      </c>
      <c r="R110" s="50" t="s">
        <v>1328</v>
      </c>
    </row>
    <row r="111" spans="1:18" s="5" customFormat="1" ht="73.5" customHeight="1" x14ac:dyDescent="0.25">
      <c r="B111" s="27">
        <v>43087</v>
      </c>
      <c r="C111" s="24" t="s">
        <v>2351</v>
      </c>
      <c r="D111" s="26" t="s">
        <v>3107</v>
      </c>
      <c r="E111" s="26" t="s">
        <v>3137</v>
      </c>
      <c r="F111" s="26" t="s">
        <v>3129</v>
      </c>
      <c r="G111" s="44" t="s">
        <v>3138</v>
      </c>
      <c r="H111" s="26" t="s">
        <v>3029</v>
      </c>
      <c r="I111" s="26" t="s">
        <v>3030</v>
      </c>
      <c r="J111" s="32">
        <v>1850.0045</v>
      </c>
      <c r="K111" s="32">
        <v>48.117199999999997</v>
      </c>
      <c r="L111" s="33">
        <f t="shared" si="10"/>
        <v>38.447883501118106</v>
      </c>
      <c r="M111" s="26">
        <v>60</v>
      </c>
      <c r="N111" s="37">
        <f t="shared" si="11"/>
        <v>30.833408333333335</v>
      </c>
      <c r="O111" s="38">
        <f t="shared" ca="1" si="12"/>
        <v>74</v>
      </c>
      <c r="P111" s="36">
        <f t="shared" ca="1" si="9"/>
        <v>-431.66771666666682</v>
      </c>
      <c r="Q111" s="36">
        <f t="shared" ca="1" si="8"/>
        <v>1</v>
      </c>
      <c r="R111" s="50" t="s">
        <v>1328</v>
      </c>
    </row>
    <row r="112" spans="1:18" s="5" customFormat="1" ht="78" customHeight="1" x14ac:dyDescent="0.25">
      <c r="B112" s="27">
        <v>43087</v>
      </c>
      <c r="C112" s="24" t="s">
        <v>2351</v>
      </c>
      <c r="D112" s="26" t="s">
        <v>3107</v>
      </c>
      <c r="E112" s="26" t="s">
        <v>3139</v>
      </c>
      <c r="F112" s="26" t="s">
        <v>3129</v>
      </c>
      <c r="G112" s="44" t="s">
        <v>3140</v>
      </c>
      <c r="H112" s="26" t="s">
        <v>3029</v>
      </c>
      <c r="I112" s="26" t="s">
        <v>3030</v>
      </c>
      <c r="J112" s="32">
        <v>1850.0045</v>
      </c>
      <c r="K112" s="32">
        <v>48.117199999999997</v>
      </c>
      <c r="L112" s="33">
        <f t="shared" si="10"/>
        <v>38.447883501118106</v>
      </c>
      <c r="M112" s="26">
        <v>60</v>
      </c>
      <c r="N112" s="37">
        <f t="shared" si="11"/>
        <v>30.833408333333335</v>
      </c>
      <c r="O112" s="38">
        <f t="shared" ca="1" si="12"/>
        <v>74</v>
      </c>
      <c r="P112" s="36">
        <f t="shared" ca="1" si="9"/>
        <v>-431.66771666666682</v>
      </c>
      <c r="Q112" s="36">
        <f t="shared" ca="1" si="8"/>
        <v>1</v>
      </c>
      <c r="R112" s="50" t="s">
        <v>1328</v>
      </c>
    </row>
    <row r="113" spans="2:18" s="5" customFormat="1" ht="78" customHeight="1" x14ac:dyDescent="0.25">
      <c r="B113" s="27">
        <v>43087</v>
      </c>
      <c r="C113" s="24" t="s">
        <v>2351</v>
      </c>
      <c r="D113" s="26" t="s">
        <v>3141</v>
      </c>
      <c r="E113" s="26" t="s">
        <v>3142</v>
      </c>
      <c r="F113" s="26" t="s">
        <v>3143</v>
      </c>
      <c r="G113" s="26" t="s">
        <v>28</v>
      </c>
      <c r="H113" s="26" t="s">
        <v>3029</v>
      </c>
      <c r="I113" s="26" t="s">
        <v>3030</v>
      </c>
      <c r="J113" s="32">
        <v>12059.6</v>
      </c>
      <c r="K113" s="32">
        <v>48.117199999999997</v>
      </c>
      <c r="L113" s="33">
        <f t="shared" si="10"/>
        <v>250.62971245209616</v>
      </c>
      <c r="M113" s="26">
        <v>60</v>
      </c>
      <c r="N113" s="37">
        <f t="shared" si="11"/>
        <v>200.99333333333334</v>
      </c>
      <c r="O113" s="38">
        <f t="shared" ca="1" si="12"/>
        <v>74</v>
      </c>
      <c r="P113" s="36">
        <f t="shared" ca="1" si="9"/>
        <v>-2813.9066666666677</v>
      </c>
      <c r="Q113" s="36">
        <f t="shared" ca="1" si="8"/>
        <v>1</v>
      </c>
      <c r="R113" s="50" t="s">
        <v>3144</v>
      </c>
    </row>
    <row r="114" spans="2:18" s="5" customFormat="1" ht="63.75" customHeight="1" x14ac:dyDescent="0.25">
      <c r="B114" s="27">
        <v>43087</v>
      </c>
      <c r="C114" s="24" t="s">
        <v>2351</v>
      </c>
      <c r="D114" s="26" t="s">
        <v>3141</v>
      </c>
      <c r="E114" s="26" t="s">
        <v>3145</v>
      </c>
      <c r="F114" s="26" t="s">
        <v>3146</v>
      </c>
      <c r="G114" s="26" t="s">
        <v>28</v>
      </c>
      <c r="H114" s="26" t="s">
        <v>23</v>
      </c>
      <c r="I114" s="26" t="s">
        <v>3024</v>
      </c>
      <c r="J114" s="32">
        <v>4543</v>
      </c>
      <c r="K114" s="32">
        <v>48.117199999999997</v>
      </c>
      <c r="L114" s="33">
        <f t="shared" si="10"/>
        <v>94.415302636063615</v>
      </c>
      <c r="M114" s="26">
        <v>60</v>
      </c>
      <c r="N114" s="37">
        <f t="shared" si="11"/>
        <v>75.716666666666669</v>
      </c>
      <c r="O114" s="38">
        <f t="shared" ca="1" si="12"/>
        <v>74</v>
      </c>
      <c r="P114" s="36">
        <f t="shared" ca="1" si="9"/>
        <v>-1060.0333333333338</v>
      </c>
      <c r="Q114" s="36">
        <f t="shared" ca="1" si="8"/>
        <v>1</v>
      </c>
      <c r="R114" s="50" t="s">
        <v>3144</v>
      </c>
    </row>
    <row r="115" spans="2:18" s="5" customFormat="1" ht="63.75" customHeight="1" x14ac:dyDescent="0.25">
      <c r="B115" s="27">
        <v>43087</v>
      </c>
      <c r="C115" s="24" t="s">
        <v>2351</v>
      </c>
      <c r="D115" s="26" t="s">
        <v>3141</v>
      </c>
      <c r="E115" s="26" t="s">
        <v>3147</v>
      </c>
      <c r="F115" s="26" t="s">
        <v>3146</v>
      </c>
      <c r="G115" s="26" t="s">
        <v>28</v>
      </c>
      <c r="H115" s="26" t="s">
        <v>318</v>
      </c>
      <c r="I115" s="26" t="s">
        <v>3027</v>
      </c>
      <c r="J115" s="32">
        <v>4543</v>
      </c>
      <c r="K115" s="32">
        <v>48.117199999999997</v>
      </c>
      <c r="L115" s="33">
        <f t="shared" si="10"/>
        <v>94.415302636063615</v>
      </c>
      <c r="M115" s="26">
        <v>60</v>
      </c>
      <c r="N115" s="37">
        <f t="shared" si="11"/>
        <v>75.716666666666669</v>
      </c>
      <c r="O115" s="38">
        <f t="shared" ca="1" si="12"/>
        <v>74</v>
      </c>
      <c r="P115" s="36">
        <f t="shared" ca="1" si="9"/>
        <v>-1060.0333333333338</v>
      </c>
      <c r="Q115" s="36">
        <f t="shared" ca="1" si="8"/>
        <v>1</v>
      </c>
      <c r="R115" s="50" t="s">
        <v>3144</v>
      </c>
    </row>
    <row r="116" spans="2:18" s="5" customFormat="1" ht="74.25" customHeight="1" x14ac:dyDescent="0.25">
      <c r="B116" s="27">
        <v>43087</v>
      </c>
      <c r="C116" s="24" t="s">
        <v>2351</v>
      </c>
      <c r="D116" s="26" t="s">
        <v>3141</v>
      </c>
      <c r="E116" s="26" t="s">
        <v>3148</v>
      </c>
      <c r="F116" s="26" t="s">
        <v>3146</v>
      </c>
      <c r="G116" s="26" t="s">
        <v>28</v>
      </c>
      <c r="H116" s="26" t="s">
        <v>3032</v>
      </c>
      <c r="I116" s="26" t="s">
        <v>3033</v>
      </c>
      <c r="J116" s="32">
        <v>4543</v>
      </c>
      <c r="K116" s="32">
        <v>48.117199999999997</v>
      </c>
      <c r="L116" s="33">
        <f t="shared" si="10"/>
        <v>94.415302636063615</v>
      </c>
      <c r="M116" s="26">
        <v>60</v>
      </c>
      <c r="N116" s="37">
        <f t="shared" si="11"/>
        <v>75.716666666666669</v>
      </c>
      <c r="O116" s="38">
        <f t="shared" ca="1" si="12"/>
        <v>74</v>
      </c>
      <c r="P116" s="36">
        <f t="shared" ca="1" si="9"/>
        <v>-1060.0333333333338</v>
      </c>
      <c r="Q116" s="36">
        <f t="shared" ca="1" si="8"/>
        <v>1</v>
      </c>
      <c r="R116" s="50" t="s">
        <v>3144</v>
      </c>
    </row>
    <row r="117" spans="2:18" s="5" customFormat="1" ht="77.25" customHeight="1" x14ac:dyDescent="0.25">
      <c r="B117" s="27">
        <v>43087</v>
      </c>
      <c r="C117" s="24" t="s">
        <v>2351</v>
      </c>
      <c r="D117" s="26" t="s">
        <v>3141</v>
      </c>
      <c r="E117" s="26" t="s">
        <v>3149</v>
      </c>
      <c r="F117" s="26" t="s">
        <v>3146</v>
      </c>
      <c r="G117" s="26" t="s">
        <v>28</v>
      </c>
      <c r="H117" s="26" t="s">
        <v>3029</v>
      </c>
      <c r="I117" s="26" t="s">
        <v>3030</v>
      </c>
      <c r="J117" s="32">
        <v>4543</v>
      </c>
      <c r="K117" s="32">
        <v>48.117199999999997</v>
      </c>
      <c r="L117" s="33">
        <f t="shared" si="10"/>
        <v>94.415302636063615</v>
      </c>
      <c r="M117" s="26">
        <v>60</v>
      </c>
      <c r="N117" s="37">
        <f t="shared" si="11"/>
        <v>75.716666666666669</v>
      </c>
      <c r="O117" s="38">
        <f t="shared" ca="1" si="12"/>
        <v>74</v>
      </c>
      <c r="P117" s="36">
        <f t="shared" ca="1" si="9"/>
        <v>-1060.0333333333338</v>
      </c>
      <c r="Q117" s="36">
        <f t="shared" ca="1" si="8"/>
        <v>1</v>
      </c>
      <c r="R117" s="50" t="s">
        <v>3144</v>
      </c>
    </row>
    <row r="118" spans="2:18" s="5" customFormat="1" ht="78.75" customHeight="1" x14ac:dyDescent="0.25">
      <c r="B118" s="27">
        <v>43087</v>
      </c>
      <c r="C118" s="24" t="s">
        <v>2351</v>
      </c>
      <c r="D118" s="26" t="s">
        <v>3141</v>
      </c>
      <c r="E118" s="26" t="s">
        <v>3150</v>
      </c>
      <c r="F118" s="26" t="s">
        <v>3151</v>
      </c>
      <c r="G118" s="26" t="s">
        <v>28</v>
      </c>
      <c r="H118" s="26" t="s">
        <v>318</v>
      </c>
      <c r="I118" s="26" t="s">
        <v>3027</v>
      </c>
      <c r="J118" s="32">
        <v>4295.2</v>
      </c>
      <c r="K118" s="32">
        <v>48.117199999999997</v>
      </c>
      <c r="L118" s="33">
        <f t="shared" si="10"/>
        <v>89.265377037732875</v>
      </c>
      <c r="M118" s="26">
        <v>60</v>
      </c>
      <c r="N118" s="37">
        <f t="shared" si="11"/>
        <v>71.586666666666659</v>
      </c>
      <c r="O118" s="38">
        <f t="shared" ca="1" si="12"/>
        <v>74</v>
      </c>
      <c r="P118" s="36">
        <f t="shared" ca="1" si="9"/>
        <v>-1002.2133333333331</v>
      </c>
      <c r="Q118" s="36">
        <f t="shared" ca="1" si="8"/>
        <v>1</v>
      </c>
      <c r="R118" s="50" t="s">
        <v>3144</v>
      </c>
    </row>
    <row r="119" spans="2:18" s="5" customFormat="1" ht="68.25" customHeight="1" x14ac:dyDescent="0.25">
      <c r="B119" s="27">
        <v>43087</v>
      </c>
      <c r="C119" s="24" t="s">
        <v>2351</v>
      </c>
      <c r="D119" s="26" t="s">
        <v>3141</v>
      </c>
      <c r="E119" s="26" t="s">
        <v>3152</v>
      </c>
      <c r="F119" s="26" t="s">
        <v>3151</v>
      </c>
      <c r="G119" s="26" t="s">
        <v>28</v>
      </c>
      <c r="H119" s="26" t="s">
        <v>318</v>
      </c>
      <c r="I119" s="26" t="s">
        <v>3027</v>
      </c>
      <c r="J119" s="32">
        <v>4295.2</v>
      </c>
      <c r="K119" s="32">
        <v>48.117199999999997</v>
      </c>
      <c r="L119" s="33">
        <f t="shared" si="10"/>
        <v>89.265377037732875</v>
      </c>
      <c r="M119" s="26">
        <v>60</v>
      </c>
      <c r="N119" s="37">
        <f t="shared" si="11"/>
        <v>71.586666666666659</v>
      </c>
      <c r="O119" s="38">
        <f t="shared" ca="1" si="12"/>
        <v>74</v>
      </c>
      <c r="P119" s="36">
        <f t="shared" ca="1" si="9"/>
        <v>-1002.2133333333331</v>
      </c>
      <c r="Q119" s="36">
        <f t="shared" ca="1" si="8"/>
        <v>1</v>
      </c>
      <c r="R119" s="50" t="s">
        <v>3144</v>
      </c>
    </row>
    <row r="120" spans="2:18" s="5" customFormat="1" ht="75.75" customHeight="1" x14ac:dyDescent="0.25">
      <c r="B120" s="27">
        <v>43087</v>
      </c>
      <c r="C120" s="24" t="s">
        <v>2351</v>
      </c>
      <c r="D120" s="26" t="s">
        <v>3141</v>
      </c>
      <c r="E120" s="26" t="s">
        <v>3153</v>
      </c>
      <c r="F120" s="26" t="s">
        <v>3154</v>
      </c>
      <c r="G120" s="26" t="s">
        <v>28</v>
      </c>
      <c r="H120" s="26" t="s">
        <v>23</v>
      </c>
      <c r="I120" s="26" t="s">
        <v>3024</v>
      </c>
      <c r="J120" s="32">
        <v>8260</v>
      </c>
      <c r="K120" s="32">
        <v>48.117199999999997</v>
      </c>
      <c r="L120" s="33">
        <f t="shared" si="10"/>
        <v>171.66418661102475</v>
      </c>
      <c r="M120" s="26">
        <v>60</v>
      </c>
      <c r="N120" s="37">
        <f t="shared" si="11"/>
        <v>137.66666666666666</v>
      </c>
      <c r="O120" s="38">
        <f t="shared" ca="1" si="12"/>
        <v>74</v>
      </c>
      <c r="P120" s="36">
        <f t="shared" ca="1" si="9"/>
        <v>-1927.3333333333321</v>
      </c>
      <c r="Q120" s="36">
        <f t="shared" ca="1" si="8"/>
        <v>1</v>
      </c>
      <c r="R120" s="50" t="s">
        <v>3144</v>
      </c>
    </row>
    <row r="121" spans="2:18" s="5" customFormat="1" ht="66.75" customHeight="1" x14ac:dyDescent="0.25">
      <c r="B121" s="27">
        <v>43087</v>
      </c>
      <c r="C121" s="24" t="s">
        <v>2351</v>
      </c>
      <c r="D121" s="26" t="s">
        <v>3141</v>
      </c>
      <c r="E121" s="26" t="s">
        <v>3155</v>
      </c>
      <c r="F121" s="26" t="s">
        <v>3154</v>
      </c>
      <c r="G121" s="26" t="s">
        <v>28</v>
      </c>
      <c r="H121" s="26" t="s">
        <v>318</v>
      </c>
      <c r="I121" s="26" t="s">
        <v>3027</v>
      </c>
      <c r="J121" s="32">
        <v>8260</v>
      </c>
      <c r="K121" s="32">
        <v>48.117199999999997</v>
      </c>
      <c r="L121" s="33">
        <f t="shared" si="10"/>
        <v>171.66418661102475</v>
      </c>
      <c r="M121" s="26">
        <v>60</v>
      </c>
      <c r="N121" s="37">
        <f t="shared" si="11"/>
        <v>137.66666666666666</v>
      </c>
      <c r="O121" s="38">
        <f t="shared" ca="1" si="12"/>
        <v>74</v>
      </c>
      <c r="P121" s="36">
        <f t="shared" ca="1" si="9"/>
        <v>-1927.3333333333321</v>
      </c>
      <c r="Q121" s="36">
        <f t="shared" ca="1" si="8"/>
        <v>1</v>
      </c>
      <c r="R121" s="50" t="s">
        <v>3144</v>
      </c>
    </row>
    <row r="122" spans="2:18" s="5" customFormat="1" ht="67.5" customHeight="1" x14ac:dyDescent="0.25">
      <c r="B122" s="27">
        <v>43087</v>
      </c>
      <c r="C122" s="24" t="s">
        <v>2351</v>
      </c>
      <c r="D122" s="26" t="s">
        <v>3141</v>
      </c>
      <c r="E122" s="26" t="s">
        <v>3156</v>
      </c>
      <c r="F122" s="26" t="s">
        <v>3154</v>
      </c>
      <c r="G122" s="26" t="s">
        <v>28</v>
      </c>
      <c r="H122" s="26" t="s">
        <v>3032</v>
      </c>
      <c r="I122" s="26" t="s">
        <v>3033</v>
      </c>
      <c r="J122" s="32">
        <v>8260</v>
      </c>
      <c r="K122" s="32">
        <v>48.117199999999997</v>
      </c>
      <c r="L122" s="33">
        <f t="shared" si="10"/>
        <v>171.66418661102475</v>
      </c>
      <c r="M122" s="26">
        <v>60</v>
      </c>
      <c r="N122" s="37">
        <f t="shared" si="11"/>
        <v>137.66666666666666</v>
      </c>
      <c r="O122" s="38">
        <f t="shared" ca="1" si="12"/>
        <v>74</v>
      </c>
      <c r="P122" s="36">
        <f t="shared" ca="1" si="9"/>
        <v>-1927.3333333333321</v>
      </c>
      <c r="Q122" s="36">
        <f t="shared" ca="1" si="8"/>
        <v>1</v>
      </c>
      <c r="R122" s="50" t="s">
        <v>3144</v>
      </c>
    </row>
    <row r="123" spans="2:18" s="5" customFormat="1" ht="77.25" customHeight="1" x14ac:dyDescent="0.25">
      <c r="B123" s="27">
        <v>43087</v>
      </c>
      <c r="C123" s="24" t="s">
        <v>2351</v>
      </c>
      <c r="D123" s="26" t="s">
        <v>3141</v>
      </c>
      <c r="E123" s="26" t="s">
        <v>3157</v>
      </c>
      <c r="F123" s="26" t="s">
        <v>3154</v>
      </c>
      <c r="G123" s="26" t="s">
        <v>28</v>
      </c>
      <c r="H123" s="26" t="s">
        <v>3029</v>
      </c>
      <c r="I123" s="26" t="s">
        <v>3030</v>
      </c>
      <c r="J123" s="32">
        <v>8260</v>
      </c>
      <c r="K123" s="32">
        <v>48.117199999999997</v>
      </c>
      <c r="L123" s="33">
        <f t="shared" si="10"/>
        <v>171.66418661102475</v>
      </c>
      <c r="M123" s="26">
        <v>60</v>
      </c>
      <c r="N123" s="37">
        <f t="shared" si="11"/>
        <v>137.66666666666666</v>
      </c>
      <c r="O123" s="38">
        <f t="shared" ca="1" si="12"/>
        <v>74</v>
      </c>
      <c r="P123" s="36">
        <f t="shared" ca="1" si="9"/>
        <v>-1927.3333333333321</v>
      </c>
      <c r="Q123" s="36">
        <f t="shared" ca="1" si="8"/>
        <v>1</v>
      </c>
      <c r="R123" s="50" t="s">
        <v>3144</v>
      </c>
    </row>
    <row r="124" spans="2:18" s="5" customFormat="1" ht="76.5" x14ac:dyDescent="0.25">
      <c r="B124" s="27">
        <v>43087</v>
      </c>
      <c r="C124" s="24" t="s">
        <v>2351</v>
      </c>
      <c r="D124" s="26" t="s">
        <v>3141</v>
      </c>
      <c r="E124" s="26" t="s">
        <v>3158</v>
      </c>
      <c r="F124" s="26" t="s">
        <v>3159</v>
      </c>
      <c r="G124" s="26" t="s">
        <v>28</v>
      </c>
      <c r="H124" s="26" t="s">
        <v>23</v>
      </c>
      <c r="I124" s="26" t="s">
        <v>3024</v>
      </c>
      <c r="J124" s="32">
        <v>4130</v>
      </c>
      <c r="K124" s="32">
        <v>48.117199999999997</v>
      </c>
      <c r="L124" s="33">
        <f t="shared" si="10"/>
        <v>85.832093305512373</v>
      </c>
      <c r="M124" s="26">
        <v>60</v>
      </c>
      <c r="N124" s="37">
        <f t="shared" si="11"/>
        <v>68.833333333333329</v>
      </c>
      <c r="O124" s="38">
        <f t="shared" ca="1" si="12"/>
        <v>74</v>
      </c>
      <c r="P124" s="36">
        <f t="shared" ca="1" si="9"/>
        <v>-963.66666666666606</v>
      </c>
      <c r="Q124" s="36">
        <f t="shared" ca="1" si="8"/>
        <v>1</v>
      </c>
      <c r="R124" s="50" t="s">
        <v>3144</v>
      </c>
    </row>
    <row r="125" spans="2:18" s="5" customFormat="1" ht="72.75" customHeight="1" x14ac:dyDescent="0.25">
      <c r="B125" s="27">
        <v>43087</v>
      </c>
      <c r="C125" s="24" t="s">
        <v>2351</v>
      </c>
      <c r="D125" s="26" t="s">
        <v>3141</v>
      </c>
      <c r="E125" s="26" t="s">
        <v>3160</v>
      </c>
      <c r="F125" s="26" t="s">
        <v>3159</v>
      </c>
      <c r="G125" s="26" t="s">
        <v>28</v>
      </c>
      <c r="H125" s="26" t="s">
        <v>318</v>
      </c>
      <c r="I125" s="26" t="s">
        <v>3027</v>
      </c>
      <c r="J125" s="32">
        <v>4130</v>
      </c>
      <c r="K125" s="32">
        <v>48.117199999999997</v>
      </c>
      <c r="L125" s="33">
        <f t="shared" si="10"/>
        <v>85.832093305512373</v>
      </c>
      <c r="M125" s="26">
        <v>60</v>
      </c>
      <c r="N125" s="37">
        <f t="shared" si="11"/>
        <v>68.833333333333329</v>
      </c>
      <c r="O125" s="38">
        <f t="shared" ca="1" si="12"/>
        <v>74</v>
      </c>
      <c r="P125" s="36">
        <f t="shared" ca="1" si="9"/>
        <v>-963.66666666666606</v>
      </c>
      <c r="Q125" s="36">
        <f t="shared" ref="Q125:Q184" ca="1" si="13">IF(P125&lt;1,1,P125)</f>
        <v>1</v>
      </c>
      <c r="R125" s="50" t="s">
        <v>3144</v>
      </c>
    </row>
    <row r="126" spans="2:18" s="5" customFormat="1" ht="71.25" customHeight="1" x14ac:dyDescent="0.25">
      <c r="B126" s="27">
        <v>43087</v>
      </c>
      <c r="C126" s="24" t="s">
        <v>2351</v>
      </c>
      <c r="D126" s="26" t="s">
        <v>3141</v>
      </c>
      <c r="E126" s="26" t="s">
        <v>3161</v>
      </c>
      <c r="F126" s="26" t="s">
        <v>3159</v>
      </c>
      <c r="G126" s="26" t="s">
        <v>28</v>
      </c>
      <c r="H126" s="26" t="s">
        <v>3032</v>
      </c>
      <c r="I126" s="26" t="s">
        <v>3033</v>
      </c>
      <c r="J126" s="32">
        <v>4130</v>
      </c>
      <c r="K126" s="32">
        <v>48.117199999999997</v>
      </c>
      <c r="L126" s="33">
        <f t="shared" si="10"/>
        <v>85.832093305512373</v>
      </c>
      <c r="M126" s="26">
        <v>60</v>
      </c>
      <c r="N126" s="37">
        <f t="shared" si="11"/>
        <v>68.833333333333329</v>
      </c>
      <c r="O126" s="38">
        <f t="shared" ca="1" si="12"/>
        <v>74</v>
      </c>
      <c r="P126" s="36">
        <f t="shared" ca="1" si="9"/>
        <v>-963.66666666666606</v>
      </c>
      <c r="Q126" s="36">
        <f t="shared" ca="1" si="13"/>
        <v>1</v>
      </c>
      <c r="R126" s="50" t="s">
        <v>3144</v>
      </c>
    </row>
    <row r="127" spans="2:18" s="5" customFormat="1" ht="78" customHeight="1" x14ac:dyDescent="0.25">
      <c r="B127" s="27">
        <v>43087</v>
      </c>
      <c r="C127" s="24" t="s">
        <v>2351</v>
      </c>
      <c r="D127" s="26" t="s">
        <v>3141</v>
      </c>
      <c r="E127" s="26" t="s">
        <v>3162</v>
      </c>
      <c r="F127" s="26" t="s">
        <v>3159</v>
      </c>
      <c r="G127" s="26" t="s">
        <v>28</v>
      </c>
      <c r="H127" s="26" t="s">
        <v>3029</v>
      </c>
      <c r="I127" s="26" t="s">
        <v>3030</v>
      </c>
      <c r="J127" s="32">
        <v>4130</v>
      </c>
      <c r="K127" s="32">
        <v>48.117199999999997</v>
      </c>
      <c r="L127" s="33">
        <f t="shared" si="10"/>
        <v>85.832093305512373</v>
      </c>
      <c r="M127" s="26">
        <v>60</v>
      </c>
      <c r="N127" s="37">
        <f t="shared" si="11"/>
        <v>68.833333333333329</v>
      </c>
      <c r="O127" s="38">
        <f t="shared" ca="1" si="12"/>
        <v>74</v>
      </c>
      <c r="P127" s="36">
        <f t="shared" ca="1" si="9"/>
        <v>-963.66666666666606</v>
      </c>
      <c r="Q127" s="36">
        <f t="shared" ca="1" si="13"/>
        <v>1</v>
      </c>
      <c r="R127" s="50" t="s">
        <v>3144</v>
      </c>
    </row>
    <row r="128" spans="2:18" s="5" customFormat="1" ht="65.25" customHeight="1" x14ac:dyDescent="0.25">
      <c r="B128" s="27">
        <v>43087</v>
      </c>
      <c r="C128" s="24" t="s">
        <v>2351</v>
      </c>
      <c r="D128" s="26" t="s">
        <v>3163</v>
      </c>
      <c r="E128" s="26" t="s">
        <v>3164</v>
      </c>
      <c r="F128" s="26" t="s">
        <v>3165</v>
      </c>
      <c r="G128" s="26" t="s">
        <v>28</v>
      </c>
      <c r="H128" s="26" t="s">
        <v>318</v>
      </c>
      <c r="I128" s="26" t="s">
        <v>3027</v>
      </c>
      <c r="J128" s="32">
        <v>3589.56</v>
      </c>
      <c r="K128" s="32">
        <v>48.117199999999997</v>
      </c>
      <c r="L128" s="33">
        <f t="shared" si="10"/>
        <v>74.600350810105326</v>
      </c>
      <c r="M128" s="26">
        <v>60</v>
      </c>
      <c r="N128" s="37">
        <f t="shared" si="11"/>
        <v>59.826000000000001</v>
      </c>
      <c r="O128" s="38">
        <f t="shared" ca="1" si="12"/>
        <v>74</v>
      </c>
      <c r="P128" s="36">
        <f t="shared" ca="1" si="9"/>
        <v>-837.56399999999985</v>
      </c>
      <c r="Q128" s="36">
        <f t="shared" ca="1" si="13"/>
        <v>1</v>
      </c>
      <c r="R128" s="50" t="s">
        <v>3166</v>
      </c>
    </row>
    <row r="129" spans="2:18" s="5" customFormat="1" ht="60" customHeight="1" x14ac:dyDescent="0.25">
      <c r="B129" s="27">
        <v>43087</v>
      </c>
      <c r="C129" s="24" t="s">
        <v>2351</v>
      </c>
      <c r="D129" s="26" t="s">
        <v>3163</v>
      </c>
      <c r="E129" s="26" t="s">
        <v>3167</v>
      </c>
      <c r="F129" s="26" t="s">
        <v>3165</v>
      </c>
      <c r="G129" s="26" t="s">
        <v>28</v>
      </c>
      <c r="H129" s="26" t="s">
        <v>3032</v>
      </c>
      <c r="I129" s="26" t="s">
        <v>3033</v>
      </c>
      <c r="J129" s="32">
        <v>3589.56</v>
      </c>
      <c r="K129" s="32">
        <v>48.117199999999997</v>
      </c>
      <c r="L129" s="33">
        <f t="shared" si="10"/>
        <v>74.600350810105326</v>
      </c>
      <c r="M129" s="26">
        <v>60</v>
      </c>
      <c r="N129" s="37">
        <f t="shared" si="11"/>
        <v>59.826000000000001</v>
      </c>
      <c r="O129" s="38">
        <f t="shared" ca="1" si="12"/>
        <v>74</v>
      </c>
      <c r="P129" s="36">
        <f t="shared" ca="1" si="9"/>
        <v>-837.56399999999985</v>
      </c>
      <c r="Q129" s="36">
        <f t="shared" ca="1" si="13"/>
        <v>1</v>
      </c>
      <c r="R129" s="50" t="s">
        <v>3166</v>
      </c>
    </row>
    <row r="130" spans="2:18" s="5" customFormat="1" ht="79.5" customHeight="1" x14ac:dyDescent="0.25">
      <c r="B130" s="27">
        <v>43087</v>
      </c>
      <c r="C130" s="24" t="s">
        <v>2351</v>
      </c>
      <c r="D130" s="26" t="s">
        <v>3163</v>
      </c>
      <c r="E130" s="26" t="s">
        <v>3168</v>
      </c>
      <c r="F130" s="26" t="s">
        <v>3165</v>
      </c>
      <c r="G130" s="26" t="s">
        <v>28</v>
      </c>
      <c r="H130" s="26" t="s">
        <v>3029</v>
      </c>
      <c r="I130" s="26" t="s">
        <v>3030</v>
      </c>
      <c r="J130" s="32">
        <v>3589.56</v>
      </c>
      <c r="K130" s="32">
        <v>48.117199999999997</v>
      </c>
      <c r="L130" s="33">
        <f t="shared" si="10"/>
        <v>74.600350810105326</v>
      </c>
      <c r="M130" s="26">
        <v>60</v>
      </c>
      <c r="N130" s="37">
        <f t="shared" si="11"/>
        <v>59.826000000000001</v>
      </c>
      <c r="O130" s="38">
        <f t="shared" ca="1" si="12"/>
        <v>74</v>
      </c>
      <c r="P130" s="36">
        <f t="shared" ca="1" si="9"/>
        <v>-837.56399999999985</v>
      </c>
      <c r="Q130" s="36">
        <f t="shared" ca="1" si="13"/>
        <v>1</v>
      </c>
      <c r="R130" s="50" t="s">
        <v>3166</v>
      </c>
    </row>
    <row r="131" spans="2:18" s="5" customFormat="1" ht="65.25" customHeight="1" x14ac:dyDescent="0.25">
      <c r="B131" s="27">
        <v>43087</v>
      </c>
      <c r="C131" s="24" t="s">
        <v>2351</v>
      </c>
      <c r="D131" s="26" t="s">
        <v>3163</v>
      </c>
      <c r="E131" s="26" t="s">
        <v>3169</v>
      </c>
      <c r="F131" s="26" t="s">
        <v>3170</v>
      </c>
      <c r="G131" s="26" t="s">
        <v>28</v>
      </c>
      <c r="H131" s="26" t="s">
        <v>318</v>
      </c>
      <c r="I131" s="26" t="s">
        <v>3027</v>
      </c>
      <c r="J131" s="32">
        <v>1551.7</v>
      </c>
      <c r="K131" s="32">
        <v>48.117199999999997</v>
      </c>
      <c r="L131" s="33">
        <f t="shared" si="10"/>
        <v>32.248343627642512</v>
      </c>
      <c r="M131" s="26">
        <v>60</v>
      </c>
      <c r="N131" s="37">
        <f t="shared" si="11"/>
        <v>25.861666666666668</v>
      </c>
      <c r="O131" s="38">
        <f t="shared" ca="1" si="12"/>
        <v>74</v>
      </c>
      <c r="P131" s="36">
        <f t="shared" ca="1" si="9"/>
        <v>-362.0633333333335</v>
      </c>
      <c r="Q131" s="36">
        <f t="shared" ca="1" si="13"/>
        <v>1</v>
      </c>
      <c r="R131" s="50" t="s">
        <v>3166</v>
      </c>
    </row>
    <row r="132" spans="2:18" s="5" customFormat="1" ht="46.9" customHeight="1" x14ac:dyDescent="0.25">
      <c r="B132" s="27">
        <v>43087</v>
      </c>
      <c r="C132" s="24" t="s">
        <v>2351</v>
      </c>
      <c r="D132" s="26" t="s">
        <v>3163</v>
      </c>
      <c r="E132" s="26" t="s">
        <v>3171</v>
      </c>
      <c r="F132" s="26" t="s">
        <v>3170</v>
      </c>
      <c r="G132" s="26" t="s">
        <v>28</v>
      </c>
      <c r="H132" s="26" t="s">
        <v>318</v>
      </c>
      <c r="I132" s="26" t="s">
        <v>3027</v>
      </c>
      <c r="J132" s="32">
        <v>1551.7</v>
      </c>
      <c r="K132" s="32">
        <v>48.117199999999997</v>
      </c>
      <c r="L132" s="33">
        <f t="shared" si="10"/>
        <v>32.248343627642512</v>
      </c>
      <c r="M132" s="26">
        <v>60</v>
      </c>
      <c r="N132" s="37">
        <f t="shared" si="11"/>
        <v>25.861666666666668</v>
      </c>
      <c r="O132" s="38">
        <f t="shared" ca="1" si="12"/>
        <v>74</v>
      </c>
      <c r="P132" s="36">
        <f t="shared" ca="1" si="9"/>
        <v>-362.0633333333335</v>
      </c>
      <c r="Q132" s="36">
        <f t="shared" ca="1" si="13"/>
        <v>1</v>
      </c>
      <c r="R132" s="50" t="s">
        <v>3166</v>
      </c>
    </row>
    <row r="133" spans="2:18" s="5" customFormat="1" ht="71.25" customHeight="1" x14ac:dyDescent="0.25">
      <c r="B133" s="27">
        <v>43087</v>
      </c>
      <c r="C133" s="24" t="s">
        <v>2351</v>
      </c>
      <c r="D133" s="26" t="s">
        <v>3163</v>
      </c>
      <c r="E133" s="26" t="s">
        <v>3172</v>
      </c>
      <c r="F133" s="26" t="s">
        <v>3170</v>
      </c>
      <c r="G133" s="26" t="s">
        <v>28</v>
      </c>
      <c r="H133" s="26" t="s">
        <v>3029</v>
      </c>
      <c r="I133" s="26" t="s">
        <v>3030</v>
      </c>
      <c r="J133" s="32">
        <v>1551.7</v>
      </c>
      <c r="K133" s="32">
        <v>48.117199999999997</v>
      </c>
      <c r="L133" s="33">
        <f t="shared" si="10"/>
        <v>32.248343627642512</v>
      </c>
      <c r="M133" s="26">
        <v>60</v>
      </c>
      <c r="N133" s="37">
        <f t="shared" si="11"/>
        <v>25.861666666666668</v>
      </c>
      <c r="O133" s="38">
        <f t="shared" ca="1" si="12"/>
        <v>74</v>
      </c>
      <c r="P133" s="36">
        <f t="shared" ca="1" si="9"/>
        <v>-362.0633333333335</v>
      </c>
      <c r="Q133" s="36">
        <f t="shared" ca="1" si="13"/>
        <v>1</v>
      </c>
      <c r="R133" s="50" t="s">
        <v>3166</v>
      </c>
    </row>
    <row r="134" spans="2:18" s="5" customFormat="1" ht="78.75" customHeight="1" x14ac:dyDescent="0.25">
      <c r="B134" s="27">
        <v>43087</v>
      </c>
      <c r="C134" s="24" t="s">
        <v>2351</v>
      </c>
      <c r="D134" s="26" t="s">
        <v>3163</v>
      </c>
      <c r="E134" s="26" t="s">
        <v>3173</v>
      </c>
      <c r="F134" s="26" t="s">
        <v>3170</v>
      </c>
      <c r="G134" s="26" t="s">
        <v>28</v>
      </c>
      <c r="H134" s="26" t="s">
        <v>3029</v>
      </c>
      <c r="I134" s="26" t="s">
        <v>3030</v>
      </c>
      <c r="J134" s="32">
        <v>1551.7</v>
      </c>
      <c r="K134" s="32">
        <v>48.117199999999997</v>
      </c>
      <c r="L134" s="33">
        <f t="shared" si="10"/>
        <v>32.248343627642512</v>
      </c>
      <c r="M134" s="26">
        <v>60</v>
      </c>
      <c r="N134" s="37">
        <f t="shared" si="11"/>
        <v>25.861666666666668</v>
      </c>
      <c r="O134" s="38">
        <f t="shared" ca="1" si="12"/>
        <v>74</v>
      </c>
      <c r="P134" s="36">
        <f t="shared" ca="1" si="9"/>
        <v>-362.0633333333335</v>
      </c>
      <c r="Q134" s="36">
        <f t="shared" ca="1" si="13"/>
        <v>1</v>
      </c>
      <c r="R134" s="50" t="s">
        <v>3166</v>
      </c>
    </row>
    <row r="135" spans="2:18" s="5" customFormat="1" ht="81" customHeight="1" x14ac:dyDescent="0.25">
      <c r="B135" s="27">
        <v>43087</v>
      </c>
      <c r="C135" s="24" t="s">
        <v>2351</v>
      </c>
      <c r="D135" s="26" t="s">
        <v>3163</v>
      </c>
      <c r="E135" s="26" t="s">
        <v>3174</v>
      </c>
      <c r="F135" s="26" t="s">
        <v>3175</v>
      </c>
      <c r="G135" s="26" t="s">
        <v>28</v>
      </c>
      <c r="H135" s="26" t="s">
        <v>23</v>
      </c>
      <c r="I135" s="26" t="s">
        <v>3024</v>
      </c>
      <c r="J135" s="32">
        <v>6655.2</v>
      </c>
      <c r="K135" s="32">
        <v>48.117199999999997</v>
      </c>
      <c r="L135" s="33">
        <f t="shared" si="10"/>
        <v>138.31228749802565</v>
      </c>
      <c r="M135" s="26">
        <v>60</v>
      </c>
      <c r="N135" s="37">
        <f t="shared" si="11"/>
        <v>110.92</v>
      </c>
      <c r="O135" s="38">
        <f t="shared" ca="1" si="12"/>
        <v>74</v>
      </c>
      <c r="P135" s="36">
        <f t="shared" ca="1" si="9"/>
        <v>-1552.88</v>
      </c>
      <c r="Q135" s="36">
        <f t="shared" ca="1" si="13"/>
        <v>1</v>
      </c>
      <c r="R135" s="50" t="s">
        <v>3166</v>
      </c>
    </row>
    <row r="136" spans="2:18" s="5" customFormat="1" ht="50.25" customHeight="1" x14ac:dyDescent="0.25">
      <c r="B136" s="27">
        <v>43087</v>
      </c>
      <c r="C136" s="24" t="s">
        <v>2351</v>
      </c>
      <c r="D136" s="26" t="s">
        <v>3163</v>
      </c>
      <c r="E136" s="26" t="s">
        <v>3176</v>
      </c>
      <c r="F136" s="26" t="s">
        <v>3175</v>
      </c>
      <c r="G136" s="26" t="s">
        <v>28</v>
      </c>
      <c r="H136" s="26" t="s">
        <v>318</v>
      </c>
      <c r="I136" s="26" t="s">
        <v>3027</v>
      </c>
      <c r="J136" s="32">
        <v>6655.2</v>
      </c>
      <c r="K136" s="32">
        <v>48.117199999999997</v>
      </c>
      <c r="L136" s="33">
        <f t="shared" si="10"/>
        <v>138.31228749802565</v>
      </c>
      <c r="M136" s="26">
        <v>60</v>
      </c>
      <c r="N136" s="37">
        <f t="shared" si="11"/>
        <v>110.92</v>
      </c>
      <c r="O136" s="38">
        <f t="shared" ca="1" si="12"/>
        <v>74</v>
      </c>
      <c r="P136" s="36">
        <f t="shared" ca="1" si="9"/>
        <v>-1552.88</v>
      </c>
      <c r="Q136" s="36">
        <f t="shared" ca="1" si="13"/>
        <v>1</v>
      </c>
      <c r="R136" s="50" t="s">
        <v>3166</v>
      </c>
    </row>
    <row r="137" spans="2:18" s="5" customFormat="1" ht="51" customHeight="1" x14ac:dyDescent="0.25">
      <c r="B137" s="27">
        <v>43087</v>
      </c>
      <c r="C137" s="24" t="s">
        <v>2351</v>
      </c>
      <c r="D137" s="26" t="s">
        <v>3163</v>
      </c>
      <c r="E137" s="26" t="s">
        <v>3177</v>
      </c>
      <c r="F137" s="26" t="s">
        <v>3175</v>
      </c>
      <c r="G137" s="26" t="s">
        <v>28</v>
      </c>
      <c r="H137" s="26" t="s">
        <v>3029</v>
      </c>
      <c r="I137" s="26" t="s">
        <v>3030</v>
      </c>
      <c r="J137" s="32">
        <v>6655.2</v>
      </c>
      <c r="K137" s="32">
        <v>48.117199999999997</v>
      </c>
      <c r="L137" s="33">
        <f t="shared" si="10"/>
        <v>138.31228749802565</v>
      </c>
      <c r="M137" s="26">
        <v>60</v>
      </c>
      <c r="N137" s="37">
        <f t="shared" si="11"/>
        <v>110.92</v>
      </c>
      <c r="O137" s="38">
        <f t="shared" ca="1" si="12"/>
        <v>74</v>
      </c>
      <c r="P137" s="36">
        <f t="shared" ref="P137:P200" ca="1" si="14">IF(OR(J137=0,M137=0,O137=0),0,J137-(N137*O137))</f>
        <v>-1552.88</v>
      </c>
      <c r="Q137" s="36">
        <f t="shared" ca="1" si="13"/>
        <v>1</v>
      </c>
      <c r="R137" s="50" t="s">
        <v>3166</v>
      </c>
    </row>
    <row r="138" spans="2:18" s="5" customFormat="1" ht="75" customHeight="1" x14ac:dyDescent="0.25">
      <c r="B138" s="27">
        <v>43087</v>
      </c>
      <c r="C138" s="24" t="s">
        <v>2351</v>
      </c>
      <c r="D138" s="26" t="s">
        <v>3178</v>
      </c>
      <c r="E138" s="26" t="s">
        <v>3179</v>
      </c>
      <c r="F138" s="26" t="s">
        <v>3180</v>
      </c>
      <c r="G138" s="26" t="s">
        <v>28</v>
      </c>
      <c r="H138" s="26" t="s">
        <v>23</v>
      </c>
      <c r="I138" s="26" t="s">
        <v>3024</v>
      </c>
      <c r="J138" s="32">
        <v>4264.857</v>
      </c>
      <c r="K138" s="32">
        <v>48.117199999999997</v>
      </c>
      <c r="L138" s="33">
        <f t="shared" si="10"/>
        <v>88.634770934302082</v>
      </c>
      <c r="M138" s="26">
        <v>60</v>
      </c>
      <c r="N138" s="37">
        <f t="shared" si="11"/>
        <v>71.080950000000001</v>
      </c>
      <c r="O138" s="38">
        <f t="shared" ca="1" si="12"/>
        <v>74</v>
      </c>
      <c r="P138" s="36">
        <f t="shared" ca="1" si="14"/>
        <v>-995.13330000000042</v>
      </c>
      <c r="Q138" s="36">
        <f t="shared" ca="1" si="13"/>
        <v>1</v>
      </c>
      <c r="R138" s="50" t="s">
        <v>3181</v>
      </c>
    </row>
    <row r="139" spans="2:18" s="5" customFormat="1" ht="80.25" customHeight="1" x14ac:dyDescent="0.25">
      <c r="B139" s="27">
        <v>43087</v>
      </c>
      <c r="C139" s="24" t="s">
        <v>2351</v>
      </c>
      <c r="D139" s="26" t="s">
        <v>3178</v>
      </c>
      <c r="E139" s="26" t="s">
        <v>3182</v>
      </c>
      <c r="F139" s="26" t="s">
        <v>3180</v>
      </c>
      <c r="G139" s="26" t="s">
        <v>28</v>
      </c>
      <c r="H139" s="26" t="s">
        <v>23</v>
      </c>
      <c r="I139" s="26" t="s">
        <v>3024</v>
      </c>
      <c r="J139" s="32">
        <v>4264.857</v>
      </c>
      <c r="K139" s="32">
        <v>48.117199999999997</v>
      </c>
      <c r="L139" s="33">
        <f t="shared" ref="L139:L170" si="15">+J139/K139</f>
        <v>88.634770934302082</v>
      </c>
      <c r="M139" s="26">
        <v>60</v>
      </c>
      <c r="N139" s="37">
        <f t="shared" ref="N139:N170" si="16">IF(AND(J139&lt;&gt;0,M139&lt;&gt;0),J139/M139,0)</f>
        <v>71.080950000000001</v>
      </c>
      <c r="O139" s="38">
        <f t="shared" ca="1" si="12"/>
        <v>74</v>
      </c>
      <c r="P139" s="36">
        <f t="shared" ca="1" si="14"/>
        <v>-995.13330000000042</v>
      </c>
      <c r="Q139" s="36">
        <f t="shared" ca="1" si="13"/>
        <v>1</v>
      </c>
      <c r="R139" s="50" t="s">
        <v>3181</v>
      </c>
    </row>
    <row r="140" spans="2:18" s="5" customFormat="1" ht="67.5" customHeight="1" x14ac:dyDescent="0.25">
      <c r="B140" s="27">
        <v>43087</v>
      </c>
      <c r="C140" s="24" t="s">
        <v>2351</v>
      </c>
      <c r="D140" s="26" t="s">
        <v>3178</v>
      </c>
      <c r="E140" s="26" t="s">
        <v>3183</v>
      </c>
      <c r="F140" s="26" t="s">
        <v>3180</v>
      </c>
      <c r="G140" s="26" t="s">
        <v>28</v>
      </c>
      <c r="H140" s="26" t="s">
        <v>318</v>
      </c>
      <c r="I140" s="26" t="s">
        <v>3027</v>
      </c>
      <c r="J140" s="32">
        <v>4264.857</v>
      </c>
      <c r="K140" s="32">
        <v>48.117199999999997</v>
      </c>
      <c r="L140" s="33">
        <f t="shared" si="15"/>
        <v>88.634770934302082</v>
      </c>
      <c r="M140" s="26">
        <v>60</v>
      </c>
      <c r="N140" s="37">
        <f t="shared" si="16"/>
        <v>71.080950000000001</v>
      </c>
      <c r="O140" s="38">
        <f t="shared" ca="1" si="12"/>
        <v>74</v>
      </c>
      <c r="P140" s="36">
        <f t="shared" ca="1" si="14"/>
        <v>-995.13330000000042</v>
      </c>
      <c r="Q140" s="36">
        <f t="shared" ca="1" si="13"/>
        <v>1</v>
      </c>
      <c r="R140" s="50" t="s">
        <v>3181</v>
      </c>
    </row>
    <row r="141" spans="2:18" s="5" customFormat="1" ht="69.75" customHeight="1" x14ac:dyDescent="0.25">
      <c r="B141" s="27">
        <v>43087</v>
      </c>
      <c r="C141" s="24" t="s">
        <v>2351</v>
      </c>
      <c r="D141" s="26" t="s">
        <v>3178</v>
      </c>
      <c r="E141" s="26" t="s">
        <v>3184</v>
      </c>
      <c r="F141" s="26" t="s">
        <v>3180</v>
      </c>
      <c r="G141" s="26" t="s">
        <v>28</v>
      </c>
      <c r="H141" s="26" t="s">
        <v>3032</v>
      </c>
      <c r="I141" s="26" t="s">
        <v>3033</v>
      </c>
      <c r="J141" s="32">
        <v>4264.857</v>
      </c>
      <c r="K141" s="32">
        <v>48.117199999999997</v>
      </c>
      <c r="L141" s="33">
        <f t="shared" si="15"/>
        <v>88.634770934302082</v>
      </c>
      <c r="M141" s="26">
        <v>60</v>
      </c>
      <c r="N141" s="37">
        <f t="shared" si="16"/>
        <v>71.080950000000001</v>
      </c>
      <c r="O141" s="38">
        <f t="shared" ca="1" si="12"/>
        <v>74</v>
      </c>
      <c r="P141" s="36">
        <f t="shared" ca="1" si="14"/>
        <v>-995.13330000000042</v>
      </c>
      <c r="Q141" s="36">
        <f t="shared" ca="1" si="13"/>
        <v>1</v>
      </c>
      <c r="R141" s="50" t="s">
        <v>3181</v>
      </c>
    </row>
    <row r="142" spans="2:18" s="5" customFormat="1" ht="75" customHeight="1" x14ac:dyDescent="0.25">
      <c r="B142" s="27">
        <v>43087</v>
      </c>
      <c r="C142" s="24" t="s">
        <v>2351</v>
      </c>
      <c r="D142" s="26" t="s">
        <v>3178</v>
      </c>
      <c r="E142" s="26" t="s">
        <v>3185</v>
      </c>
      <c r="F142" s="26" t="s">
        <v>3180</v>
      </c>
      <c r="G142" s="26" t="s">
        <v>28</v>
      </c>
      <c r="H142" s="26" t="s">
        <v>3032</v>
      </c>
      <c r="I142" s="26" t="s">
        <v>3033</v>
      </c>
      <c r="J142" s="32">
        <v>4264.857</v>
      </c>
      <c r="K142" s="32">
        <v>48.117199999999997</v>
      </c>
      <c r="L142" s="33">
        <f t="shared" si="15"/>
        <v>88.634770934302082</v>
      </c>
      <c r="M142" s="26">
        <v>60</v>
      </c>
      <c r="N142" s="37">
        <f t="shared" si="16"/>
        <v>71.080950000000001</v>
      </c>
      <c r="O142" s="38">
        <f t="shared" ref="O142:O204" ca="1" si="17">IF(B142&lt;&gt;0,(ROUND((NOW()-B142)/30,0)),0)</f>
        <v>74</v>
      </c>
      <c r="P142" s="36">
        <f t="shared" ca="1" si="14"/>
        <v>-995.13330000000042</v>
      </c>
      <c r="Q142" s="36">
        <f t="shared" ca="1" si="13"/>
        <v>1</v>
      </c>
      <c r="R142" s="50" t="s">
        <v>3181</v>
      </c>
    </row>
    <row r="143" spans="2:18" s="5" customFormat="1" ht="74.25" customHeight="1" x14ac:dyDescent="0.25">
      <c r="B143" s="27">
        <v>43087</v>
      </c>
      <c r="C143" s="24" t="s">
        <v>2351</v>
      </c>
      <c r="D143" s="26" t="s">
        <v>3178</v>
      </c>
      <c r="E143" s="26" t="s">
        <v>3186</v>
      </c>
      <c r="F143" s="26" t="s">
        <v>3180</v>
      </c>
      <c r="G143" s="26" t="s">
        <v>28</v>
      </c>
      <c r="H143" s="26" t="s">
        <v>3032</v>
      </c>
      <c r="I143" s="26" t="s">
        <v>3033</v>
      </c>
      <c r="J143" s="32">
        <v>4264.857</v>
      </c>
      <c r="K143" s="32">
        <v>48.117199999999997</v>
      </c>
      <c r="L143" s="33">
        <f t="shared" si="15"/>
        <v>88.634770934302082</v>
      </c>
      <c r="M143" s="26">
        <v>60</v>
      </c>
      <c r="N143" s="37">
        <f t="shared" si="16"/>
        <v>71.080950000000001</v>
      </c>
      <c r="O143" s="38">
        <f t="shared" ca="1" si="17"/>
        <v>74</v>
      </c>
      <c r="P143" s="36">
        <f t="shared" ca="1" si="14"/>
        <v>-995.13330000000042</v>
      </c>
      <c r="Q143" s="36">
        <f t="shared" ca="1" si="13"/>
        <v>1</v>
      </c>
      <c r="R143" s="50" t="s">
        <v>3181</v>
      </c>
    </row>
    <row r="144" spans="2:18" s="5" customFormat="1" ht="76.5" customHeight="1" x14ac:dyDescent="0.25">
      <c r="B144" s="27">
        <v>43087</v>
      </c>
      <c r="C144" s="24" t="s">
        <v>2351</v>
      </c>
      <c r="D144" s="26" t="s">
        <v>3178</v>
      </c>
      <c r="E144" s="26" t="s">
        <v>3187</v>
      </c>
      <c r="F144" s="26" t="s">
        <v>3180</v>
      </c>
      <c r="G144" s="26" t="s">
        <v>28</v>
      </c>
      <c r="H144" s="26" t="s">
        <v>3029</v>
      </c>
      <c r="I144" s="26" t="s">
        <v>3030</v>
      </c>
      <c r="J144" s="32">
        <v>4264.857</v>
      </c>
      <c r="K144" s="32">
        <v>48.117199999999997</v>
      </c>
      <c r="L144" s="33">
        <f t="shared" si="15"/>
        <v>88.634770934302082</v>
      </c>
      <c r="M144" s="26">
        <v>60</v>
      </c>
      <c r="N144" s="37">
        <f t="shared" si="16"/>
        <v>71.080950000000001</v>
      </c>
      <c r="O144" s="38">
        <f t="shared" ca="1" si="17"/>
        <v>74</v>
      </c>
      <c r="P144" s="36">
        <f t="shared" ca="1" si="14"/>
        <v>-995.13330000000042</v>
      </c>
      <c r="Q144" s="36">
        <f t="shared" ca="1" si="13"/>
        <v>1</v>
      </c>
      <c r="R144" s="50" t="s">
        <v>3181</v>
      </c>
    </row>
    <row r="145" spans="1:18" s="5" customFormat="1" ht="99.75" customHeight="1" x14ac:dyDescent="0.25">
      <c r="B145" s="27">
        <v>43089</v>
      </c>
      <c r="C145" s="24" t="s">
        <v>2351</v>
      </c>
      <c r="D145" s="26" t="s">
        <v>3188</v>
      </c>
      <c r="E145" s="26" t="s">
        <v>3189</v>
      </c>
      <c r="F145" s="26" t="s">
        <v>3190</v>
      </c>
      <c r="G145" s="26" t="s">
        <v>3191</v>
      </c>
      <c r="H145" s="26" t="s">
        <v>1156</v>
      </c>
      <c r="I145" s="26" t="s">
        <v>19</v>
      </c>
      <c r="J145" s="32">
        <v>597112</v>
      </c>
      <c r="K145" s="32">
        <v>48.164299999999997</v>
      </c>
      <c r="L145" s="33">
        <f t="shared" si="15"/>
        <v>12397.398072846487</v>
      </c>
      <c r="M145" s="26">
        <v>60</v>
      </c>
      <c r="N145" s="37">
        <f t="shared" si="16"/>
        <v>9951.8666666666668</v>
      </c>
      <c r="O145" s="38">
        <f t="shared" ca="1" si="17"/>
        <v>74</v>
      </c>
      <c r="P145" s="36">
        <f t="shared" ca="1" si="14"/>
        <v>-139326.1333333333</v>
      </c>
      <c r="Q145" s="36">
        <f t="shared" ca="1" si="13"/>
        <v>1</v>
      </c>
      <c r="R145" s="50" t="s">
        <v>3192</v>
      </c>
    </row>
    <row r="146" spans="1:18" s="5" customFormat="1" ht="46.9" customHeight="1" x14ac:dyDescent="0.25">
      <c r="B146" s="27">
        <v>43089</v>
      </c>
      <c r="C146" s="24" t="s">
        <v>2351</v>
      </c>
      <c r="D146" s="26" t="s">
        <v>3188</v>
      </c>
      <c r="E146" s="26" t="s">
        <v>3193</v>
      </c>
      <c r="F146" s="26" t="s">
        <v>3194</v>
      </c>
      <c r="G146" s="26" t="s">
        <v>3191</v>
      </c>
      <c r="H146" s="26" t="s">
        <v>844</v>
      </c>
      <c r="I146" s="26" t="s">
        <v>19</v>
      </c>
      <c r="J146" s="32">
        <f t="shared" ref="J146:J152" si="18">143400+25812</f>
        <v>169212</v>
      </c>
      <c r="K146" s="32">
        <v>48.164299999999997</v>
      </c>
      <c r="L146" s="33">
        <f t="shared" si="15"/>
        <v>3513.2245252188864</v>
      </c>
      <c r="M146" s="26">
        <v>60</v>
      </c>
      <c r="N146" s="37">
        <f t="shared" si="16"/>
        <v>2820.2</v>
      </c>
      <c r="O146" s="38">
        <f t="shared" ca="1" si="17"/>
        <v>74</v>
      </c>
      <c r="P146" s="36">
        <f t="shared" ca="1" si="14"/>
        <v>-39482.799999999988</v>
      </c>
      <c r="Q146" s="36">
        <f t="shared" ca="1" si="13"/>
        <v>1</v>
      </c>
      <c r="R146" s="50" t="s">
        <v>3192</v>
      </c>
    </row>
    <row r="147" spans="1:18" s="5" customFormat="1" ht="46.9" customHeight="1" x14ac:dyDescent="0.25">
      <c r="B147" s="27">
        <v>43089</v>
      </c>
      <c r="C147" s="24" t="s">
        <v>2351</v>
      </c>
      <c r="D147" s="26" t="s">
        <v>3188</v>
      </c>
      <c r="E147" s="26" t="s">
        <v>3195</v>
      </c>
      <c r="F147" s="26" t="s">
        <v>3194</v>
      </c>
      <c r="G147" s="26" t="s">
        <v>3191</v>
      </c>
      <c r="H147" s="26" t="s">
        <v>2830</v>
      </c>
      <c r="I147" s="26" t="s">
        <v>19</v>
      </c>
      <c r="J147" s="32">
        <f t="shared" si="18"/>
        <v>169212</v>
      </c>
      <c r="K147" s="32">
        <v>48.164299999999997</v>
      </c>
      <c r="L147" s="33">
        <f t="shared" si="15"/>
        <v>3513.2245252188864</v>
      </c>
      <c r="M147" s="26">
        <v>60</v>
      </c>
      <c r="N147" s="37">
        <f t="shared" si="16"/>
        <v>2820.2</v>
      </c>
      <c r="O147" s="38">
        <f t="shared" ca="1" si="17"/>
        <v>74</v>
      </c>
      <c r="P147" s="36">
        <f t="shared" ca="1" si="14"/>
        <v>-39482.799999999988</v>
      </c>
      <c r="Q147" s="36">
        <f t="shared" ca="1" si="13"/>
        <v>1</v>
      </c>
      <c r="R147" s="50" t="s">
        <v>3192</v>
      </c>
    </row>
    <row r="148" spans="1:18" s="5" customFormat="1" ht="48" customHeight="1" x14ac:dyDescent="0.25">
      <c r="B148" s="27">
        <v>43089</v>
      </c>
      <c r="C148" s="24" t="s">
        <v>2351</v>
      </c>
      <c r="D148" s="26" t="s">
        <v>3188</v>
      </c>
      <c r="E148" s="26" t="s">
        <v>3196</v>
      </c>
      <c r="F148" s="26" t="s">
        <v>3194</v>
      </c>
      <c r="G148" s="26" t="s">
        <v>3191</v>
      </c>
      <c r="H148" s="26" t="s">
        <v>3197</v>
      </c>
      <c r="I148" s="26" t="s">
        <v>19</v>
      </c>
      <c r="J148" s="32">
        <f t="shared" si="18"/>
        <v>169212</v>
      </c>
      <c r="K148" s="32">
        <v>48.164299999999997</v>
      </c>
      <c r="L148" s="33">
        <f t="shared" si="15"/>
        <v>3513.2245252188864</v>
      </c>
      <c r="M148" s="26">
        <v>60</v>
      </c>
      <c r="N148" s="37">
        <f t="shared" si="16"/>
        <v>2820.2</v>
      </c>
      <c r="O148" s="38">
        <f t="shared" ca="1" si="17"/>
        <v>74</v>
      </c>
      <c r="P148" s="36">
        <f t="shared" ca="1" si="14"/>
        <v>-39482.799999999988</v>
      </c>
      <c r="Q148" s="36">
        <f t="shared" ca="1" si="13"/>
        <v>1</v>
      </c>
      <c r="R148" s="50" t="s">
        <v>3192</v>
      </c>
    </row>
    <row r="149" spans="1:18" s="5" customFormat="1" ht="38.25" x14ac:dyDescent="0.25">
      <c r="B149" s="27">
        <v>43089</v>
      </c>
      <c r="C149" s="24" t="s">
        <v>2351</v>
      </c>
      <c r="D149" s="26" t="s">
        <v>3188</v>
      </c>
      <c r="E149" s="26" t="s">
        <v>3198</v>
      </c>
      <c r="F149" s="26" t="s">
        <v>3194</v>
      </c>
      <c r="G149" s="26" t="s">
        <v>3191</v>
      </c>
      <c r="H149" s="26" t="s">
        <v>3199</v>
      </c>
      <c r="I149" s="26" t="s">
        <v>3200</v>
      </c>
      <c r="J149" s="32">
        <f t="shared" si="18"/>
        <v>169212</v>
      </c>
      <c r="K149" s="32">
        <v>48.164299999999997</v>
      </c>
      <c r="L149" s="33">
        <f t="shared" si="15"/>
        <v>3513.2245252188864</v>
      </c>
      <c r="M149" s="26">
        <v>60</v>
      </c>
      <c r="N149" s="37">
        <f t="shared" si="16"/>
        <v>2820.2</v>
      </c>
      <c r="O149" s="38">
        <f t="shared" ca="1" si="17"/>
        <v>74</v>
      </c>
      <c r="P149" s="36">
        <f t="shared" ca="1" si="14"/>
        <v>-39482.799999999988</v>
      </c>
      <c r="Q149" s="36">
        <f t="shared" ca="1" si="13"/>
        <v>1</v>
      </c>
      <c r="R149" s="50" t="s">
        <v>3192</v>
      </c>
    </row>
    <row r="150" spans="1:18" s="5" customFormat="1" ht="46.9" customHeight="1" x14ac:dyDescent="0.25">
      <c r="B150" s="27">
        <v>43089</v>
      </c>
      <c r="C150" s="24" t="s">
        <v>2351</v>
      </c>
      <c r="D150" s="26" t="s">
        <v>3188</v>
      </c>
      <c r="E150" s="26" t="s">
        <v>3201</v>
      </c>
      <c r="F150" s="26" t="s">
        <v>3194</v>
      </c>
      <c r="G150" s="26" t="s">
        <v>3191</v>
      </c>
      <c r="H150" s="25" t="s">
        <v>765</v>
      </c>
      <c r="I150" s="26" t="s">
        <v>19</v>
      </c>
      <c r="J150" s="32">
        <f t="shared" si="18"/>
        <v>169212</v>
      </c>
      <c r="K150" s="32">
        <v>48.164299999999997</v>
      </c>
      <c r="L150" s="33">
        <f t="shared" si="15"/>
        <v>3513.2245252188864</v>
      </c>
      <c r="M150" s="26">
        <v>60</v>
      </c>
      <c r="N150" s="37">
        <f t="shared" si="16"/>
        <v>2820.2</v>
      </c>
      <c r="O150" s="38">
        <f t="shared" ca="1" si="17"/>
        <v>74</v>
      </c>
      <c r="P150" s="36">
        <f t="shared" ca="1" si="14"/>
        <v>-39482.799999999988</v>
      </c>
      <c r="Q150" s="36">
        <f t="shared" ca="1" si="13"/>
        <v>1</v>
      </c>
      <c r="R150" s="50" t="s">
        <v>3192</v>
      </c>
    </row>
    <row r="151" spans="1:18" s="5" customFormat="1" ht="46.9" customHeight="1" x14ac:dyDescent="0.25">
      <c r="B151" s="27">
        <v>43089</v>
      </c>
      <c r="C151" s="24" t="s">
        <v>2351</v>
      </c>
      <c r="D151" s="26" t="s">
        <v>3188</v>
      </c>
      <c r="E151" s="26" t="s">
        <v>3202</v>
      </c>
      <c r="F151" s="26" t="s">
        <v>3194</v>
      </c>
      <c r="G151" s="26" t="s">
        <v>3191</v>
      </c>
      <c r="H151" s="25" t="s">
        <v>2947</v>
      </c>
      <c r="I151" s="26" t="s">
        <v>19</v>
      </c>
      <c r="J151" s="32">
        <f t="shared" si="18"/>
        <v>169212</v>
      </c>
      <c r="K151" s="32">
        <v>48.164299999999997</v>
      </c>
      <c r="L151" s="33">
        <f t="shared" si="15"/>
        <v>3513.2245252188864</v>
      </c>
      <c r="M151" s="26">
        <v>60</v>
      </c>
      <c r="N151" s="37">
        <f t="shared" si="16"/>
        <v>2820.2</v>
      </c>
      <c r="O151" s="38">
        <f t="shared" ca="1" si="17"/>
        <v>74</v>
      </c>
      <c r="P151" s="36">
        <f t="shared" ca="1" si="14"/>
        <v>-39482.799999999988</v>
      </c>
      <c r="Q151" s="36">
        <f t="shared" ca="1" si="13"/>
        <v>1</v>
      </c>
      <c r="R151" s="50" t="s">
        <v>3192</v>
      </c>
    </row>
    <row r="152" spans="1:18" s="5" customFormat="1" ht="46.9" customHeight="1" x14ac:dyDescent="0.25">
      <c r="B152" s="27">
        <v>43089</v>
      </c>
      <c r="C152" s="24" t="s">
        <v>2351</v>
      </c>
      <c r="D152" s="26" t="s">
        <v>3188</v>
      </c>
      <c r="E152" s="26" t="s">
        <v>3203</v>
      </c>
      <c r="F152" s="26" t="s">
        <v>3194</v>
      </c>
      <c r="G152" s="26" t="s">
        <v>3191</v>
      </c>
      <c r="H152" s="26" t="s">
        <v>77</v>
      </c>
      <c r="I152" s="26" t="s">
        <v>19</v>
      </c>
      <c r="J152" s="32">
        <f t="shared" si="18"/>
        <v>169212</v>
      </c>
      <c r="K152" s="32">
        <v>48.164299999999997</v>
      </c>
      <c r="L152" s="33">
        <f t="shared" si="15"/>
        <v>3513.2245252188864</v>
      </c>
      <c r="M152" s="26">
        <v>60</v>
      </c>
      <c r="N152" s="37">
        <f t="shared" si="16"/>
        <v>2820.2</v>
      </c>
      <c r="O152" s="38">
        <f t="shared" ca="1" si="17"/>
        <v>74</v>
      </c>
      <c r="P152" s="36">
        <f t="shared" ca="1" si="14"/>
        <v>-39482.799999999988</v>
      </c>
      <c r="Q152" s="36">
        <f t="shared" ca="1" si="13"/>
        <v>1</v>
      </c>
      <c r="R152" s="50" t="s">
        <v>3192</v>
      </c>
    </row>
    <row r="153" spans="1:18" s="5" customFormat="1" ht="45" customHeight="1" x14ac:dyDescent="0.25">
      <c r="B153" s="27">
        <v>43089</v>
      </c>
      <c r="C153" s="24" t="s">
        <v>2351</v>
      </c>
      <c r="D153" s="26" t="s">
        <v>3188</v>
      </c>
      <c r="E153" s="26" t="s">
        <v>3204</v>
      </c>
      <c r="F153" s="26" t="s">
        <v>3205</v>
      </c>
      <c r="G153" s="26" t="s">
        <v>3191</v>
      </c>
      <c r="H153" s="26" t="s">
        <v>1108</v>
      </c>
      <c r="I153" s="26" t="s">
        <v>19</v>
      </c>
      <c r="J153" s="32">
        <v>114900</v>
      </c>
      <c r="K153" s="32">
        <v>48.164299999999997</v>
      </c>
      <c r="L153" s="33">
        <f t="shared" si="15"/>
        <v>2385.5843435905849</v>
      </c>
      <c r="M153" s="26">
        <v>120</v>
      </c>
      <c r="N153" s="37">
        <f t="shared" si="16"/>
        <v>957.5</v>
      </c>
      <c r="O153" s="38">
        <f t="shared" ca="1" si="17"/>
        <v>74</v>
      </c>
      <c r="P153" s="36">
        <f t="shared" ca="1" si="14"/>
        <v>44045</v>
      </c>
      <c r="Q153" s="36">
        <f t="shared" ca="1" si="13"/>
        <v>44045</v>
      </c>
      <c r="R153" s="50" t="s">
        <v>3192</v>
      </c>
    </row>
    <row r="154" spans="1:18" s="5" customFormat="1" ht="59.25" customHeight="1" x14ac:dyDescent="0.25">
      <c r="A154" s="45"/>
      <c r="B154" s="28">
        <v>43096</v>
      </c>
      <c r="C154" s="59" t="s">
        <v>2351</v>
      </c>
      <c r="D154" s="29" t="s">
        <v>3206</v>
      </c>
      <c r="E154" s="29" t="s">
        <v>3207</v>
      </c>
      <c r="F154" s="29" t="s">
        <v>3208</v>
      </c>
      <c r="G154" s="29" t="s">
        <v>3209</v>
      </c>
      <c r="H154" s="29" t="s">
        <v>40</v>
      </c>
      <c r="I154" s="29" t="s">
        <v>19</v>
      </c>
      <c r="J154" s="39">
        <v>1546200</v>
      </c>
      <c r="K154" s="39">
        <v>48.187899999999999</v>
      </c>
      <c r="L154" s="40">
        <f t="shared" si="15"/>
        <v>32086.893182728443</v>
      </c>
      <c r="M154" s="29">
        <v>60</v>
      </c>
      <c r="N154" s="41">
        <f t="shared" si="16"/>
        <v>25770</v>
      </c>
      <c r="O154" s="42">
        <f t="shared" ca="1" si="17"/>
        <v>74</v>
      </c>
      <c r="P154" s="36">
        <f t="shared" ca="1" si="14"/>
        <v>-360780</v>
      </c>
      <c r="Q154" s="43">
        <f t="shared" ca="1" si="13"/>
        <v>1</v>
      </c>
      <c r="R154" s="635" t="s">
        <v>734</v>
      </c>
    </row>
    <row r="155" spans="1:18" s="5" customFormat="1" ht="58.5" customHeight="1" x14ac:dyDescent="0.25">
      <c r="A155" s="45"/>
      <c r="B155" s="28">
        <v>43096</v>
      </c>
      <c r="C155" s="59" t="s">
        <v>2351</v>
      </c>
      <c r="D155" s="29" t="s">
        <v>3206</v>
      </c>
      <c r="E155" s="29" t="s">
        <v>3210</v>
      </c>
      <c r="F155" s="29" t="s">
        <v>3211</v>
      </c>
      <c r="G155" s="29" t="s">
        <v>3212</v>
      </c>
      <c r="H155" s="29" t="s">
        <v>40</v>
      </c>
      <c r="I155" s="29" t="s">
        <v>19</v>
      </c>
      <c r="J155" s="39">
        <v>1546200</v>
      </c>
      <c r="K155" s="39">
        <v>48.187899999999999</v>
      </c>
      <c r="L155" s="40">
        <f t="shared" si="15"/>
        <v>32086.893182728443</v>
      </c>
      <c r="M155" s="29">
        <v>60</v>
      </c>
      <c r="N155" s="41">
        <f t="shared" si="16"/>
        <v>25770</v>
      </c>
      <c r="O155" s="42">
        <f t="shared" ca="1" si="17"/>
        <v>74</v>
      </c>
      <c r="P155" s="36">
        <f t="shared" ca="1" si="14"/>
        <v>-360780</v>
      </c>
      <c r="Q155" s="43">
        <f t="shared" ca="1" si="13"/>
        <v>1</v>
      </c>
      <c r="R155" s="635" t="s">
        <v>734</v>
      </c>
    </row>
    <row r="156" spans="1:18" s="5" customFormat="1" ht="62.25" customHeight="1" x14ac:dyDescent="0.25">
      <c r="A156" s="45"/>
      <c r="B156" s="28">
        <v>43096</v>
      </c>
      <c r="C156" s="59" t="s">
        <v>2351</v>
      </c>
      <c r="D156" s="29" t="s">
        <v>3206</v>
      </c>
      <c r="E156" s="29" t="s">
        <v>3213</v>
      </c>
      <c r="F156" s="29" t="s">
        <v>3214</v>
      </c>
      <c r="G156" s="29" t="s">
        <v>3215</v>
      </c>
      <c r="H156" s="29" t="s">
        <v>40</v>
      </c>
      <c r="I156" s="29" t="s">
        <v>19</v>
      </c>
      <c r="J156" s="39">
        <v>1546200</v>
      </c>
      <c r="K156" s="39">
        <v>48.187899999999999</v>
      </c>
      <c r="L156" s="40">
        <f t="shared" si="15"/>
        <v>32086.893182728443</v>
      </c>
      <c r="M156" s="29">
        <v>60</v>
      </c>
      <c r="N156" s="41">
        <f t="shared" si="16"/>
        <v>25770</v>
      </c>
      <c r="O156" s="42">
        <f t="shared" ca="1" si="17"/>
        <v>74</v>
      </c>
      <c r="P156" s="36">
        <f t="shared" ca="1" si="14"/>
        <v>-360780</v>
      </c>
      <c r="Q156" s="43">
        <f t="shared" ca="1" si="13"/>
        <v>1</v>
      </c>
      <c r="R156" s="635" t="s">
        <v>734</v>
      </c>
    </row>
    <row r="157" spans="1:18" s="5" customFormat="1" ht="65.25" customHeight="1" x14ac:dyDescent="0.25">
      <c r="A157" s="45"/>
      <c r="B157" s="28">
        <v>43096</v>
      </c>
      <c r="C157" s="59" t="s">
        <v>2351</v>
      </c>
      <c r="D157" s="29" t="s">
        <v>3206</v>
      </c>
      <c r="E157" s="29" t="s">
        <v>3216</v>
      </c>
      <c r="F157" s="29" t="s">
        <v>3217</v>
      </c>
      <c r="G157" s="29" t="s">
        <v>3218</v>
      </c>
      <c r="H157" s="29" t="s">
        <v>40</v>
      </c>
      <c r="I157" s="29" t="s">
        <v>19</v>
      </c>
      <c r="J157" s="39">
        <v>1546200</v>
      </c>
      <c r="K157" s="39">
        <v>48.187899999999999</v>
      </c>
      <c r="L157" s="40">
        <f t="shared" si="15"/>
        <v>32086.893182728443</v>
      </c>
      <c r="M157" s="29">
        <v>60</v>
      </c>
      <c r="N157" s="41">
        <f t="shared" si="16"/>
        <v>25770</v>
      </c>
      <c r="O157" s="42">
        <f t="shared" ca="1" si="17"/>
        <v>74</v>
      </c>
      <c r="P157" s="36">
        <f t="shared" ca="1" si="14"/>
        <v>-360780</v>
      </c>
      <c r="Q157" s="43">
        <f t="shared" ca="1" si="13"/>
        <v>1</v>
      </c>
      <c r="R157" s="635" t="s">
        <v>734</v>
      </c>
    </row>
    <row r="158" spans="1:18" s="5" customFormat="1" ht="39.75" customHeight="1" x14ac:dyDescent="0.25">
      <c r="B158" s="27">
        <v>43096</v>
      </c>
      <c r="C158" s="24" t="s">
        <v>2351</v>
      </c>
      <c r="D158" s="26" t="s">
        <v>3219</v>
      </c>
      <c r="E158" s="26" t="s">
        <v>3220</v>
      </c>
      <c r="F158" s="26" t="s">
        <v>3221</v>
      </c>
      <c r="G158" s="26" t="s">
        <v>3222</v>
      </c>
      <c r="H158" s="26" t="s">
        <v>3223</v>
      </c>
      <c r="I158" s="26" t="s">
        <v>19</v>
      </c>
      <c r="J158" s="32">
        <v>15882.25</v>
      </c>
      <c r="K158" s="32">
        <v>48.187899999999999</v>
      </c>
      <c r="L158" s="33">
        <f t="shared" si="15"/>
        <v>329.5900008093318</v>
      </c>
      <c r="M158" s="26">
        <v>60</v>
      </c>
      <c r="N158" s="37">
        <f t="shared" si="16"/>
        <v>264.70416666666665</v>
      </c>
      <c r="O158" s="38">
        <f t="shared" ca="1" si="17"/>
        <v>74</v>
      </c>
      <c r="P158" s="36">
        <f t="shared" ca="1" si="14"/>
        <v>-3705.8583333333336</v>
      </c>
      <c r="Q158" s="36">
        <f t="shared" ca="1" si="13"/>
        <v>1</v>
      </c>
      <c r="R158" s="50" t="s">
        <v>3224</v>
      </c>
    </row>
    <row r="159" spans="1:18" s="5" customFormat="1" ht="37.5" customHeight="1" x14ac:dyDescent="0.25">
      <c r="B159" s="27">
        <v>43132</v>
      </c>
      <c r="C159" s="24" t="s">
        <v>2351</v>
      </c>
      <c r="D159" s="26" t="s">
        <v>3225</v>
      </c>
      <c r="E159" s="26" t="s">
        <v>3226</v>
      </c>
      <c r="F159" s="26" t="s">
        <v>3227</v>
      </c>
      <c r="G159" s="26" t="s">
        <v>3228</v>
      </c>
      <c r="H159" s="26" t="s">
        <v>1108</v>
      </c>
      <c r="I159" s="26" t="s">
        <v>19</v>
      </c>
      <c r="J159" s="46">
        <v>20399</v>
      </c>
      <c r="K159" s="46">
        <v>48.506300000000003</v>
      </c>
      <c r="L159" s="47">
        <f t="shared" si="15"/>
        <v>420.54331086889744</v>
      </c>
      <c r="M159" s="26">
        <v>60</v>
      </c>
      <c r="N159" s="37">
        <f t="shared" si="16"/>
        <v>339.98333333333335</v>
      </c>
      <c r="O159" s="38">
        <f t="shared" ca="1" si="17"/>
        <v>72</v>
      </c>
      <c r="P159" s="36">
        <f t="shared" ca="1" si="14"/>
        <v>-4079.8000000000029</v>
      </c>
      <c r="Q159" s="36">
        <f t="shared" ca="1" si="13"/>
        <v>1</v>
      </c>
      <c r="R159" s="50" t="s">
        <v>3229</v>
      </c>
    </row>
    <row r="160" spans="1:18" s="5" customFormat="1" ht="151.5" customHeight="1" x14ac:dyDescent="0.25">
      <c r="B160" s="27">
        <v>43132</v>
      </c>
      <c r="C160" s="24" t="s">
        <v>2351</v>
      </c>
      <c r="D160" s="26" t="s">
        <v>3230</v>
      </c>
      <c r="E160" s="26" t="s">
        <v>3231</v>
      </c>
      <c r="F160" s="26" t="s">
        <v>3232</v>
      </c>
      <c r="G160" s="26">
        <v>1208551</v>
      </c>
      <c r="H160" s="26" t="s">
        <v>1108</v>
      </c>
      <c r="I160" s="26" t="s">
        <v>19</v>
      </c>
      <c r="J160" s="46">
        <f>107000+13500+13900+6900+7400+7800+28170</f>
        <v>184670</v>
      </c>
      <c r="K160" s="46">
        <v>48.506300000000003</v>
      </c>
      <c r="L160" s="47">
        <f t="shared" si="15"/>
        <v>3807.1343310044258</v>
      </c>
      <c r="M160" s="26">
        <v>60</v>
      </c>
      <c r="N160" s="37">
        <f t="shared" si="16"/>
        <v>3077.8333333333335</v>
      </c>
      <c r="O160" s="38">
        <f t="shared" ca="1" si="17"/>
        <v>72</v>
      </c>
      <c r="P160" s="36">
        <f t="shared" ca="1" si="14"/>
        <v>-36934</v>
      </c>
      <c r="Q160" s="36">
        <f t="shared" ca="1" si="13"/>
        <v>1</v>
      </c>
      <c r="R160" s="50" t="s">
        <v>3233</v>
      </c>
    </row>
    <row r="161" spans="1:18" s="5" customFormat="1" ht="116.25" customHeight="1" x14ac:dyDescent="0.25">
      <c r="B161" s="27">
        <v>43132</v>
      </c>
      <c r="C161" s="24" t="s">
        <v>2351</v>
      </c>
      <c r="D161" s="26" t="s">
        <v>3230</v>
      </c>
      <c r="E161" s="26" t="s">
        <v>3234</v>
      </c>
      <c r="F161" s="26" t="s">
        <v>3235</v>
      </c>
      <c r="G161" s="26" t="s">
        <v>28</v>
      </c>
      <c r="H161" s="26" t="s">
        <v>1108</v>
      </c>
      <c r="I161" s="26" t="s">
        <v>19</v>
      </c>
      <c r="J161" s="46">
        <f>9100+1638</f>
        <v>10738</v>
      </c>
      <c r="K161" s="46">
        <v>48.506300000000003</v>
      </c>
      <c r="L161" s="47">
        <f t="shared" si="15"/>
        <v>221.3733061478612</v>
      </c>
      <c r="M161" s="26">
        <v>60</v>
      </c>
      <c r="N161" s="37">
        <f t="shared" si="16"/>
        <v>178.96666666666667</v>
      </c>
      <c r="O161" s="38">
        <f t="shared" ca="1" si="17"/>
        <v>72</v>
      </c>
      <c r="P161" s="36">
        <f t="shared" ca="1" si="14"/>
        <v>-2147.6000000000004</v>
      </c>
      <c r="Q161" s="36">
        <f t="shared" ca="1" si="13"/>
        <v>1</v>
      </c>
      <c r="R161" s="50" t="s">
        <v>3233</v>
      </c>
    </row>
    <row r="162" spans="1:18" s="5" customFormat="1" ht="107.25" customHeight="1" x14ac:dyDescent="0.25">
      <c r="B162" s="27">
        <v>43132</v>
      </c>
      <c r="C162" s="24" t="s">
        <v>2351</v>
      </c>
      <c r="D162" s="26" t="s">
        <v>3230</v>
      </c>
      <c r="E162" s="26" t="s">
        <v>3236</v>
      </c>
      <c r="F162" s="26" t="s">
        <v>3237</v>
      </c>
      <c r="G162" s="26" t="s">
        <v>28</v>
      </c>
      <c r="H162" s="26" t="s">
        <v>1108</v>
      </c>
      <c r="I162" s="26" t="s">
        <v>19</v>
      </c>
      <c r="J162" s="46">
        <f>29500+5310</f>
        <v>34810</v>
      </c>
      <c r="K162" s="46">
        <v>48.506300000000003</v>
      </c>
      <c r="L162" s="47">
        <f t="shared" si="15"/>
        <v>717.63873971009946</v>
      </c>
      <c r="M162" s="26">
        <v>60</v>
      </c>
      <c r="N162" s="37">
        <f t="shared" si="16"/>
        <v>580.16666666666663</v>
      </c>
      <c r="O162" s="38">
        <f t="shared" ca="1" si="17"/>
        <v>72</v>
      </c>
      <c r="P162" s="36">
        <f t="shared" ca="1" si="14"/>
        <v>-6962</v>
      </c>
      <c r="Q162" s="36">
        <f t="shared" ca="1" si="13"/>
        <v>1</v>
      </c>
      <c r="R162" s="50" t="s">
        <v>3233</v>
      </c>
    </row>
    <row r="163" spans="1:18" s="5" customFormat="1" ht="47.25" customHeight="1" x14ac:dyDescent="0.25">
      <c r="B163" s="27">
        <v>43132</v>
      </c>
      <c r="C163" s="24" t="s">
        <v>2351</v>
      </c>
      <c r="D163" s="26" t="s">
        <v>3238</v>
      </c>
      <c r="E163" s="26" t="s">
        <v>3239</v>
      </c>
      <c r="F163" s="26" t="s">
        <v>3240</v>
      </c>
      <c r="G163" s="26" t="s">
        <v>3241</v>
      </c>
      <c r="H163" s="26" t="s">
        <v>1156</v>
      </c>
      <c r="I163" s="26" t="s">
        <v>19</v>
      </c>
      <c r="J163" s="46">
        <v>118981.75999999999</v>
      </c>
      <c r="K163" s="46">
        <v>48.506300000000003</v>
      </c>
      <c r="L163" s="47">
        <f t="shared" si="15"/>
        <v>2452.913539066059</v>
      </c>
      <c r="M163" s="26">
        <v>60</v>
      </c>
      <c r="N163" s="37">
        <f t="shared" si="16"/>
        <v>1983.0293333333332</v>
      </c>
      <c r="O163" s="38">
        <f t="shared" ca="1" si="17"/>
        <v>72</v>
      </c>
      <c r="P163" s="36">
        <f t="shared" ca="1" si="14"/>
        <v>-23796.351999999999</v>
      </c>
      <c r="Q163" s="36">
        <f t="shared" ca="1" si="13"/>
        <v>1</v>
      </c>
      <c r="R163" s="50" t="s">
        <v>2713</v>
      </c>
    </row>
    <row r="164" spans="1:18" s="5" customFormat="1" ht="33.75" customHeight="1" x14ac:dyDescent="0.25">
      <c r="B164" s="27">
        <v>43132</v>
      </c>
      <c r="C164" s="24" t="s">
        <v>2351</v>
      </c>
      <c r="D164" s="26" t="s">
        <v>3238</v>
      </c>
      <c r="E164" s="26" t="s">
        <v>3242</v>
      </c>
      <c r="F164" s="26" t="s">
        <v>3243</v>
      </c>
      <c r="G164" s="26" t="s">
        <v>3244</v>
      </c>
      <c r="H164" s="26" t="s">
        <v>3245</v>
      </c>
      <c r="I164" s="26" t="s">
        <v>19</v>
      </c>
      <c r="J164" s="46">
        <f>70000+12600</f>
        <v>82600</v>
      </c>
      <c r="K164" s="46">
        <v>48.506300000000003</v>
      </c>
      <c r="L164" s="47">
        <f t="shared" si="15"/>
        <v>1702.8715857527784</v>
      </c>
      <c r="M164" s="26">
        <v>60</v>
      </c>
      <c r="N164" s="37">
        <f t="shared" si="16"/>
        <v>1376.6666666666667</v>
      </c>
      <c r="O164" s="38">
        <f t="shared" ca="1" si="17"/>
        <v>72</v>
      </c>
      <c r="P164" s="36">
        <f t="shared" ca="1" si="14"/>
        <v>-16520</v>
      </c>
      <c r="Q164" s="36">
        <f t="shared" ca="1" si="13"/>
        <v>1</v>
      </c>
      <c r="R164" s="50" t="s">
        <v>2713</v>
      </c>
    </row>
    <row r="165" spans="1:18" s="5" customFormat="1" ht="38.25" x14ac:dyDescent="0.25">
      <c r="B165" s="27">
        <v>43132</v>
      </c>
      <c r="C165" s="24" t="s">
        <v>2351</v>
      </c>
      <c r="D165" s="26" t="s">
        <v>3238</v>
      </c>
      <c r="E165" s="26" t="s">
        <v>3246</v>
      </c>
      <c r="F165" s="26" t="s">
        <v>3243</v>
      </c>
      <c r="G165" s="26" t="s">
        <v>3247</v>
      </c>
      <c r="H165" s="26" t="s">
        <v>3248</v>
      </c>
      <c r="I165" s="26" t="s">
        <v>19</v>
      </c>
      <c r="J165" s="46">
        <f>70000+12600</f>
        <v>82600</v>
      </c>
      <c r="K165" s="46">
        <v>48.506300000000003</v>
      </c>
      <c r="L165" s="47">
        <f t="shared" si="15"/>
        <v>1702.8715857527784</v>
      </c>
      <c r="M165" s="26">
        <v>60</v>
      </c>
      <c r="N165" s="37">
        <f t="shared" si="16"/>
        <v>1376.6666666666667</v>
      </c>
      <c r="O165" s="38">
        <f t="shared" ca="1" si="17"/>
        <v>72</v>
      </c>
      <c r="P165" s="36">
        <f t="shared" ca="1" si="14"/>
        <v>-16520</v>
      </c>
      <c r="Q165" s="36">
        <f t="shared" ca="1" si="13"/>
        <v>1</v>
      </c>
      <c r="R165" s="50" t="s">
        <v>2713</v>
      </c>
    </row>
    <row r="166" spans="1:18" s="5" customFormat="1" ht="33.75" customHeight="1" x14ac:dyDescent="0.25">
      <c r="B166" s="27">
        <v>43132</v>
      </c>
      <c r="C166" s="24" t="s">
        <v>2351</v>
      </c>
      <c r="D166" s="26" t="s">
        <v>3238</v>
      </c>
      <c r="E166" s="26" t="s">
        <v>3249</v>
      </c>
      <c r="F166" s="26" t="s">
        <v>2950</v>
      </c>
      <c r="G166" s="26" t="s">
        <v>3250</v>
      </c>
      <c r="H166" s="26" t="s">
        <v>3251</v>
      </c>
      <c r="I166" s="26" t="s">
        <v>19</v>
      </c>
      <c r="J166" s="46">
        <f>23680+4262.4</f>
        <v>27942.400000000001</v>
      </c>
      <c r="K166" s="46">
        <v>48.506300000000003</v>
      </c>
      <c r="L166" s="47">
        <f t="shared" si="15"/>
        <v>576.05713072322567</v>
      </c>
      <c r="M166" s="26">
        <v>60</v>
      </c>
      <c r="N166" s="37">
        <f t="shared" si="16"/>
        <v>465.70666666666671</v>
      </c>
      <c r="O166" s="38">
        <f t="shared" ca="1" si="17"/>
        <v>72</v>
      </c>
      <c r="P166" s="36">
        <f t="shared" ca="1" si="14"/>
        <v>-5588.4800000000032</v>
      </c>
      <c r="Q166" s="36">
        <f t="shared" ca="1" si="13"/>
        <v>1</v>
      </c>
      <c r="R166" s="50" t="s">
        <v>2713</v>
      </c>
    </row>
    <row r="167" spans="1:18" s="5" customFormat="1" ht="27" customHeight="1" x14ac:dyDescent="0.25">
      <c r="B167" s="27">
        <v>43132</v>
      </c>
      <c r="C167" s="24" t="s">
        <v>2351</v>
      </c>
      <c r="D167" s="26" t="s">
        <v>3238</v>
      </c>
      <c r="E167" s="26" t="s">
        <v>3252</v>
      </c>
      <c r="F167" s="26" t="s">
        <v>2950</v>
      </c>
      <c r="G167" s="26" t="s">
        <v>3253</v>
      </c>
      <c r="H167" s="26" t="s">
        <v>3254</v>
      </c>
      <c r="I167" s="26" t="s">
        <v>19</v>
      </c>
      <c r="J167" s="46">
        <f>23680+4262.4</f>
        <v>27942.400000000001</v>
      </c>
      <c r="K167" s="46">
        <v>48.506300000000003</v>
      </c>
      <c r="L167" s="47">
        <f t="shared" si="15"/>
        <v>576.05713072322567</v>
      </c>
      <c r="M167" s="26">
        <v>60</v>
      </c>
      <c r="N167" s="37">
        <f t="shared" si="16"/>
        <v>465.70666666666671</v>
      </c>
      <c r="O167" s="38">
        <f t="shared" ca="1" si="17"/>
        <v>72</v>
      </c>
      <c r="P167" s="36">
        <f t="shared" ca="1" si="14"/>
        <v>-5588.4800000000032</v>
      </c>
      <c r="Q167" s="36">
        <f t="shared" ca="1" si="13"/>
        <v>1</v>
      </c>
      <c r="R167" s="50" t="s">
        <v>2713</v>
      </c>
    </row>
    <row r="168" spans="1:18" s="5" customFormat="1" ht="41.25" customHeight="1" x14ac:dyDescent="0.25">
      <c r="B168" s="27">
        <v>43132</v>
      </c>
      <c r="C168" s="24" t="s">
        <v>2351</v>
      </c>
      <c r="D168" s="26" t="s">
        <v>3238</v>
      </c>
      <c r="E168" s="26" t="s">
        <v>3255</v>
      </c>
      <c r="F168" s="26" t="s">
        <v>2950</v>
      </c>
      <c r="G168" s="26" t="s">
        <v>3256</v>
      </c>
      <c r="H168" s="25" t="s">
        <v>3257</v>
      </c>
      <c r="I168" s="26" t="s">
        <v>19</v>
      </c>
      <c r="J168" s="46">
        <f>23680+4262.4</f>
        <v>27942.400000000001</v>
      </c>
      <c r="K168" s="46">
        <v>48.506300000000003</v>
      </c>
      <c r="L168" s="47">
        <f t="shared" si="15"/>
        <v>576.05713072322567</v>
      </c>
      <c r="M168" s="26">
        <v>60</v>
      </c>
      <c r="N168" s="37">
        <f t="shared" si="16"/>
        <v>465.70666666666671</v>
      </c>
      <c r="O168" s="38">
        <f t="shared" ca="1" si="17"/>
        <v>72</v>
      </c>
      <c r="P168" s="36">
        <f t="shared" ca="1" si="14"/>
        <v>-5588.4800000000032</v>
      </c>
      <c r="Q168" s="36">
        <f t="shared" ca="1" si="13"/>
        <v>1</v>
      </c>
      <c r="R168" s="50" t="s">
        <v>2713</v>
      </c>
    </row>
    <row r="169" spans="1:18" s="5" customFormat="1" ht="39" customHeight="1" x14ac:dyDescent="0.25">
      <c r="A169" s="45"/>
      <c r="B169" s="28">
        <v>43160</v>
      </c>
      <c r="C169" s="59" t="s">
        <v>2351</v>
      </c>
      <c r="D169" s="29" t="s">
        <v>3258</v>
      </c>
      <c r="E169" s="29" t="s">
        <v>3259</v>
      </c>
      <c r="F169" s="29" t="s">
        <v>3260</v>
      </c>
      <c r="G169" s="29" t="s">
        <v>3261</v>
      </c>
      <c r="H169" s="29" t="s">
        <v>2898</v>
      </c>
      <c r="I169" s="29" t="s">
        <v>19</v>
      </c>
      <c r="J169" s="48">
        <v>2916100</v>
      </c>
      <c r="K169" s="48">
        <v>48.966000000000001</v>
      </c>
      <c r="L169" s="49">
        <f t="shared" si="15"/>
        <v>59553.567781726095</v>
      </c>
      <c r="M169" s="29">
        <v>60</v>
      </c>
      <c r="N169" s="41">
        <f t="shared" si="16"/>
        <v>48601.666666666664</v>
      </c>
      <c r="O169" s="42">
        <f t="shared" ca="1" si="17"/>
        <v>71</v>
      </c>
      <c r="P169" s="36">
        <f t="shared" ca="1" si="14"/>
        <v>-534618.33333333302</v>
      </c>
      <c r="Q169" s="43">
        <f t="shared" ca="1" si="13"/>
        <v>1</v>
      </c>
      <c r="R169" s="635" t="s">
        <v>3262</v>
      </c>
    </row>
    <row r="170" spans="1:18" s="5" customFormat="1" ht="72" customHeight="1" x14ac:dyDescent="0.25">
      <c r="B170" s="27">
        <v>43208</v>
      </c>
      <c r="C170" s="24" t="s">
        <v>2351</v>
      </c>
      <c r="D170" s="26" t="s">
        <v>3263</v>
      </c>
      <c r="E170" s="26" t="s">
        <v>3264</v>
      </c>
      <c r="F170" s="26" t="s">
        <v>3265</v>
      </c>
      <c r="G170" s="26" t="s">
        <v>28</v>
      </c>
      <c r="H170" s="26" t="s">
        <v>23</v>
      </c>
      <c r="I170" s="26" t="s">
        <v>3266</v>
      </c>
      <c r="J170" s="46">
        <v>22531.552600000003</v>
      </c>
      <c r="K170" s="46">
        <v>49.318399999999997</v>
      </c>
      <c r="L170" s="47">
        <f t="shared" si="15"/>
        <v>456.8589532507138</v>
      </c>
      <c r="M170" s="26">
        <v>60</v>
      </c>
      <c r="N170" s="37">
        <f t="shared" si="16"/>
        <v>375.5258766666667</v>
      </c>
      <c r="O170" s="38">
        <f t="shared" ca="1" si="17"/>
        <v>70</v>
      </c>
      <c r="P170" s="36">
        <f t="shared" ca="1" si="14"/>
        <v>-3755.2587666666659</v>
      </c>
      <c r="Q170" s="36">
        <f t="shared" ca="1" si="13"/>
        <v>1</v>
      </c>
      <c r="R170" s="50" t="s">
        <v>3267</v>
      </c>
    </row>
    <row r="171" spans="1:18" s="5" customFormat="1" ht="63" customHeight="1" x14ac:dyDescent="0.25">
      <c r="B171" s="27">
        <v>43208</v>
      </c>
      <c r="C171" s="24" t="s">
        <v>2351</v>
      </c>
      <c r="D171" s="26" t="s">
        <v>3263</v>
      </c>
      <c r="E171" s="26" t="s">
        <v>3268</v>
      </c>
      <c r="F171" s="26" t="s">
        <v>3265</v>
      </c>
      <c r="G171" s="26" t="s">
        <v>28</v>
      </c>
      <c r="H171" s="26" t="s">
        <v>23</v>
      </c>
      <c r="I171" s="26" t="s">
        <v>3266</v>
      </c>
      <c r="J171" s="46">
        <f t="shared" ref="J171:J204" si="19">(19484.22-389.6844)+3437.017</f>
        <v>22531.552600000003</v>
      </c>
      <c r="K171" s="46">
        <v>49.318399999999997</v>
      </c>
      <c r="L171" s="47">
        <f t="shared" ref="L171:L206" si="20">+J171/K171</f>
        <v>456.8589532507138</v>
      </c>
      <c r="M171" s="26">
        <v>60</v>
      </c>
      <c r="N171" s="37">
        <f t="shared" ref="N171:N206" si="21">IF(AND(J171&lt;&gt;0,M171&lt;&gt;0),J171/M171,0)</f>
        <v>375.5258766666667</v>
      </c>
      <c r="O171" s="38">
        <f t="shared" ca="1" si="17"/>
        <v>70</v>
      </c>
      <c r="P171" s="36">
        <f t="shared" ca="1" si="14"/>
        <v>-3755.2587666666659</v>
      </c>
      <c r="Q171" s="36">
        <f t="shared" ca="1" si="13"/>
        <v>1</v>
      </c>
      <c r="R171" s="50" t="s">
        <v>3267</v>
      </c>
    </row>
    <row r="172" spans="1:18" s="5" customFormat="1" ht="59.25" customHeight="1" x14ac:dyDescent="0.25">
      <c r="B172" s="27">
        <v>43208</v>
      </c>
      <c r="C172" s="24" t="s">
        <v>2351</v>
      </c>
      <c r="D172" s="26" t="s">
        <v>3263</v>
      </c>
      <c r="E172" s="26" t="s">
        <v>3269</v>
      </c>
      <c r="F172" s="26" t="s">
        <v>3265</v>
      </c>
      <c r="G172" s="26" t="s">
        <v>28</v>
      </c>
      <c r="H172" s="26" t="s">
        <v>23</v>
      </c>
      <c r="I172" s="26" t="s">
        <v>3266</v>
      </c>
      <c r="J172" s="46">
        <f t="shared" si="19"/>
        <v>22531.552600000003</v>
      </c>
      <c r="K172" s="46">
        <v>49.318399999999997</v>
      </c>
      <c r="L172" s="47">
        <f t="shared" si="20"/>
        <v>456.8589532507138</v>
      </c>
      <c r="M172" s="26">
        <v>60</v>
      </c>
      <c r="N172" s="37">
        <f t="shared" si="21"/>
        <v>375.5258766666667</v>
      </c>
      <c r="O172" s="38">
        <f t="shared" ca="1" si="17"/>
        <v>70</v>
      </c>
      <c r="P172" s="36">
        <f t="shared" ca="1" si="14"/>
        <v>-3755.2587666666659</v>
      </c>
      <c r="Q172" s="36">
        <f t="shared" ca="1" si="13"/>
        <v>1</v>
      </c>
      <c r="R172" s="50" t="s">
        <v>3267</v>
      </c>
    </row>
    <row r="173" spans="1:18" s="5" customFormat="1" ht="66.75" customHeight="1" x14ac:dyDescent="0.25">
      <c r="B173" s="27">
        <v>43208</v>
      </c>
      <c r="C173" s="24" t="s">
        <v>2351</v>
      </c>
      <c r="D173" s="26" t="s">
        <v>3263</v>
      </c>
      <c r="E173" s="26" t="s">
        <v>3270</v>
      </c>
      <c r="F173" s="26" t="s">
        <v>3265</v>
      </c>
      <c r="G173" s="26" t="s">
        <v>28</v>
      </c>
      <c r="H173" s="26" t="s">
        <v>23</v>
      </c>
      <c r="I173" s="26" t="s">
        <v>3266</v>
      </c>
      <c r="J173" s="46">
        <f t="shared" si="19"/>
        <v>22531.552600000003</v>
      </c>
      <c r="K173" s="46">
        <v>49.318399999999997</v>
      </c>
      <c r="L173" s="47">
        <f t="shared" si="20"/>
        <v>456.8589532507138</v>
      </c>
      <c r="M173" s="26">
        <v>60</v>
      </c>
      <c r="N173" s="37">
        <f t="shared" si="21"/>
        <v>375.5258766666667</v>
      </c>
      <c r="O173" s="38">
        <f t="shared" ca="1" si="17"/>
        <v>70</v>
      </c>
      <c r="P173" s="36">
        <f t="shared" ca="1" si="14"/>
        <v>-3755.2587666666659</v>
      </c>
      <c r="Q173" s="36">
        <f t="shared" ca="1" si="13"/>
        <v>1</v>
      </c>
      <c r="R173" s="50" t="s">
        <v>3267</v>
      </c>
    </row>
    <row r="174" spans="1:18" s="5" customFormat="1" ht="63" customHeight="1" x14ac:dyDescent="0.25">
      <c r="B174" s="27">
        <v>43208</v>
      </c>
      <c r="C174" s="24" t="s">
        <v>2351</v>
      </c>
      <c r="D174" s="26" t="s">
        <v>3263</v>
      </c>
      <c r="E174" s="26" t="s">
        <v>3271</v>
      </c>
      <c r="F174" s="26" t="s">
        <v>3265</v>
      </c>
      <c r="G174" s="26" t="s">
        <v>28</v>
      </c>
      <c r="H174" s="26" t="s">
        <v>23</v>
      </c>
      <c r="I174" s="26" t="s">
        <v>3266</v>
      </c>
      <c r="J174" s="46">
        <f t="shared" si="19"/>
        <v>22531.552600000003</v>
      </c>
      <c r="K174" s="46">
        <v>49.318399999999997</v>
      </c>
      <c r="L174" s="47">
        <f t="shared" si="20"/>
        <v>456.8589532507138</v>
      </c>
      <c r="M174" s="26">
        <v>60</v>
      </c>
      <c r="N174" s="37">
        <f t="shared" si="21"/>
        <v>375.5258766666667</v>
      </c>
      <c r="O174" s="38">
        <f t="shared" ca="1" si="17"/>
        <v>70</v>
      </c>
      <c r="P174" s="36">
        <f t="shared" ca="1" si="14"/>
        <v>-3755.2587666666659</v>
      </c>
      <c r="Q174" s="36">
        <f t="shared" ca="1" si="13"/>
        <v>1</v>
      </c>
      <c r="R174" s="50" t="s">
        <v>3267</v>
      </c>
    </row>
    <row r="175" spans="1:18" s="5" customFormat="1" ht="70.5" customHeight="1" x14ac:dyDescent="0.25">
      <c r="B175" s="27">
        <v>43208</v>
      </c>
      <c r="C175" s="24" t="s">
        <v>2351</v>
      </c>
      <c r="D175" s="26" t="s">
        <v>3263</v>
      </c>
      <c r="E175" s="26" t="s">
        <v>3272</v>
      </c>
      <c r="F175" s="26" t="s">
        <v>3265</v>
      </c>
      <c r="G175" s="26" t="s">
        <v>28</v>
      </c>
      <c r="H175" s="26" t="s">
        <v>23</v>
      </c>
      <c r="I175" s="26" t="s">
        <v>3266</v>
      </c>
      <c r="J175" s="46">
        <f t="shared" si="19"/>
        <v>22531.552600000003</v>
      </c>
      <c r="K175" s="46">
        <v>49.318399999999997</v>
      </c>
      <c r="L175" s="47">
        <f t="shared" si="20"/>
        <v>456.8589532507138</v>
      </c>
      <c r="M175" s="26">
        <v>60</v>
      </c>
      <c r="N175" s="37">
        <f t="shared" si="21"/>
        <v>375.5258766666667</v>
      </c>
      <c r="O175" s="38">
        <f t="shared" ca="1" si="17"/>
        <v>70</v>
      </c>
      <c r="P175" s="36">
        <f t="shared" ca="1" si="14"/>
        <v>-3755.2587666666659</v>
      </c>
      <c r="Q175" s="36">
        <f t="shared" ca="1" si="13"/>
        <v>1</v>
      </c>
      <c r="R175" s="50" t="s">
        <v>3267</v>
      </c>
    </row>
    <row r="176" spans="1:18" s="5" customFormat="1" ht="57.75" customHeight="1" x14ac:dyDescent="0.25">
      <c r="B176" s="27">
        <v>43208</v>
      </c>
      <c r="C176" s="24" t="s">
        <v>2351</v>
      </c>
      <c r="D176" s="26" t="s">
        <v>3263</v>
      </c>
      <c r="E176" s="26" t="s">
        <v>3273</v>
      </c>
      <c r="F176" s="26" t="s">
        <v>3265</v>
      </c>
      <c r="G176" s="26" t="s">
        <v>28</v>
      </c>
      <c r="H176" s="26" t="s">
        <v>23</v>
      </c>
      <c r="I176" s="26" t="s">
        <v>3266</v>
      </c>
      <c r="J176" s="46">
        <f t="shared" si="19"/>
        <v>22531.552600000003</v>
      </c>
      <c r="K176" s="46">
        <v>49.318399999999997</v>
      </c>
      <c r="L176" s="47">
        <f t="shared" si="20"/>
        <v>456.8589532507138</v>
      </c>
      <c r="M176" s="26">
        <v>60</v>
      </c>
      <c r="N176" s="37">
        <f t="shared" si="21"/>
        <v>375.5258766666667</v>
      </c>
      <c r="O176" s="38">
        <f t="shared" ca="1" si="17"/>
        <v>70</v>
      </c>
      <c r="P176" s="36">
        <f t="shared" ca="1" si="14"/>
        <v>-3755.2587666666659</v>
      </c>
      <c r="Q176" s="36">
        <f t="shared" ca="1" si="13"/>
        <v>1</v>
      </c>
      <c r="R176" s="50" t="s">
        <v>3267</v>
      </c>
    </row>
    <row r="177" spans="2:18" s="5" customFormat="1" ht="65.25" customHeight="1" x14ac:dyDescent="0.25">
      <c r="B177" s="27">
        <v>43208</v>
      </c>
      <c r="C177" s="24" t="s">
        <v>2351</v>
      </c>
      <c r="D177" s="26" t="s">
        <v>3263</v>
      </c>
      <c r="E177" s="26" t="s">
        <v>3274</v>
      </c>
      <c r="F177" s="26" t="s">
        <v>3265</v>
      </c>
      <c r="G177" s="26" t="s">
        <v>28</v>
      </c>
      <c r="H177" s="26" t="s">
        <v>23</v>
      </c>
      <c r="I177" s="26" t="s">
        <v>3266</v>
      </c>
      <c r="J177" s="46">
        <f t="shared" si="19"/>
        <v>22531.552600000003</v>
      </c>
      <c r="K177" s="46">
        <v>49.318399999999997</v>
      </c>
      <c r="L177" s="47">
        <f t="shared" si="20"/>
        <v>456.8589532507138</v>
      </c>
      <c r="M177" s="26">
        <v>60</v>
      </c>
      <c r="N177" s="37">
        <f t="shared" si="21"/>
        <v>375.5258766666667</v>
      </c>
      <c r="O177" s="38">
        <f t="shared" ca="1" si="17"/>
        <v>70</v>
      </c>
      <c r="P177" s="36">
        <f t="shared" ca="1" si="14"/>
        <v>-3755.2587666666659</v>
      </c>
      <c r="Q177" s="36">
        <f t="shared" ca="1" si="13"/>
        <v>1</v>
      </c>
      <c r="R177" s="50" t="s">
        <v>3267</v>
      </c>
    </row>
    <row r="178" spans="2:18" s="5" customFormat="1" ht="66.75" customHeight="1" x14ac:dyDescent="0.25">
      <c r="B178" s="27">
        <v>43208</v>
      </c>
      <c r="C178" s="24" t="s">
        <v>2351</v>
      </c>
      <c r="D178" s="26" t="s">
        <v>3263</v>
      </c>
      <c r="E178" s="26" t="s">
        <v>3275</v>
      </c>
      <c r="F178" s="26" t="s">
        <v>3265</v>
      </c>
      <c r="G178" s="26" t="s">
        <v>28</v>
      </c>
      <c r="H178" s="26" t="s">
        <v>23</v>
      </c>
      <c r="I178" s="26" t="s">
        <v>3266</v>
      </c>
      <c r="J178" s="46">
        <f t="shared" si="19"/>
        <v>22531.552600000003</v>
      </c>
      <c r="K178" s="46">
        <v>49.318399999999997</v>
      </c>
      <c r="L178" s="47">
        <f t="shared" si="20"/>
        <v>456.8589532507138</v>
      </c>
      <c r="M178" s="26">
        <v>60</v>
      </c>
      <c r="N178" s="37">
        <f t="shared" si="21"/>
        <v>375.5258766666667</v>
      </c>
      <c r="O178" s="38">
        <f t="shared" ca="1" si="17"/>
        <v>70</v>
      </c>
      <c r="P178" s="36">
        <f t="shared" ca="1" si="14"/>
        <v>-3755.2587666666659</v>
      </c>
      <c r="Q178" s="36">
        <f t="shared" ca="1" si="13"/>
        <v>1</v>
      </c>
      <c r="R178" s="50" t="s">
        <v>3267</v>
      </c>
    </row>
    <row r="179" spans="2:18" s="5" customFormat="1" ht="67.5" customHeight="1" x14ac:dyDescent="0.25">
      <c r="B179" s="27">
        <v>43208</v>
      </c>
      <c r="C179" s="24" t="s">
        <v>2351</v>
      </c>
      <c r="D179" s="26" t="s">
        <v>3263</v>
      </c>
      <c r="E179" s="26" t="s">
        <v>3276</v>
      </c>
      <c r="F179" s="26" t="s">
        <v>3265</v>
      </c>
      <c r="G179" s="26" t="s">
        <v>28</v>
      </c>
      <c r="H179" s="26" t="s">
        <v>23</v>
      </c>
      <c r="I179" s="26" t="s">
        <v>3266</v>
      </c>
      <c r="J179" s="46">
        <f t="shared" si="19"/>
        <v>22531.552600000003</v>
      </c>
      <c r="K179" s="46">
        <v>49.318399999999997</v>
      </c>
      <c r="L179" s="47">
        <f t="shared" si="20"/>
        <v>456.8589532507138</v>
      </c>
      <c r="M179" s="26">
        <v>60</v>
      </c>
      <c r="N179" s="37">
        <f t="shared" si="21"/>
        <v>375.5258766666667</v>
      </c>
      <c r="O179" s="38">
        <f t="shared" ca="1" si="17"/>
        <v>70</v>
      </c>
      <c r="P179" s="36">
        <f t="shared" ca="1" si="14"/>
        <v>-3755.2587666666659</v>
      </c>
      <c r="Q179" s="36">
        <f t="shared" ca="1" si="13"/>
        <v>1</v>
      </c>
      <c r="R179" s="50" t="s">
        <v>3267</v>
      </c>
    </row>
    <row r="180" spans="2:18" s="5" customFormat="1" ht="66.75" customHeight="1" x14ac:dyDescent="0.25">
      <c r="B180" s="27">
        <v>43208</v>
      </c>
      <c r="C180" s="24" t="s">
        <v>2351</v>
      </c>
      <c r="D180" s="26" t="s">
        <v>3263</v>
      </c>
      <c r="E180" s="26" t="s">
        <v>3277</v>
      </c>
      <c r="F180" s="26" t="s">
        <v>3265</v>
      </c>
      <c r="G180" s="26" t="s">
        <v>28</v>
      </c>
      <c r="H180" s="26" t="s">
        <v>23</v>
      </c>
      <c r="I180" s="26" t="s">
        <v>3266</v>
      </c>
      <c r="J180" s="46">
        <f t="shared" si="19"/>
        <v>22531.552600000003</v>
      </c>
      <c r="K180" s="46">
        <v>49.318399999999997</v>
      </c>
      <c r="L180" s="47">
        <f t="shared" si="20"/>
        <v>456.8589532507138</v>
      </c>
      <c r="M180" s="26">
        <v>60</v>
      </c>
      <c r="N180" s="37">
        <f t="shared" si="21"/>
        <v>375.5258766666667</v>
      </c>
      <c r="O180" s="38">
        <f t="shared" ca="1" si="17"/>
        <v>70</v>
      </c>
      <c r="P180" s="36">
        <f t="shared" ca="1" si="14"/>
        <v>-3755.2587666666659</v>
      </c>
      <c r="Q180" s="36">
        <f t="shared" ca="1" si="13"/>
        <v>1</v>
      </c>
      <c r="R180" s="50" t="s">
        <v>3267</v>
      </c>
    </row>
    <row r="181" spans="2:18" s="5" customFormat="1" ht="66.75" customHeight="1" x14ac:dyDescent="0.25">
      <c r="B181" s="27">
        <v>43208</v>
      </c>
      <c r="C181" s="24" t="s">
        <v>2351</v>
      </c>
      <c r="D181" s="26" t="s">
        <v>3263</v>
      </c>
      <c r="E181" s="26" t="s">
        <v>3278</v>
      </c>
      <c r="F181" s="26" t="s">
        <v>3265</v>
      </c>
      <c r="G181" s="26" t="s">
        <v>28</v>
      </c>
      <c r="H181" s="26" t="s">
        <v>23</v>
      </c>
      <c r="I181" s="26" t="s">
        <v>3266</v>
      </c>
      <c r="J181" s="46">
        <f t="shared" si="19"/>
        <v>22531.552600000003</v>
      </c>
      <c r="K181" s="46">
        <v>49.318399999999997</v>
      </c>
      <c r="L181" s="47">
        <f t="shared" si="20"/>
        <v>456.8589532507138</v>
      </c>
      <c r="M181" s="26">
        <v>60</v>
      </c>
      <c r="N181" s="37">
        <f t="shared" si="21"/>
        <v>375.5258766666667</v>
      </c>
      <c r="O181" s="38">
        <f t="shared" ca="1" si="17"/>
        <v>70</v>
      </c>
      <c r="P181" s="36">
        <f t="shared" ca="1" si="14"/>
        <v>-3755.2587666666659</v>
      </c>
      <c r="Q181" s="36">
        <f t="shared" ca="1" si="13"/>
        <v>1</v>
      </c>
      <c r="R181" s="50" t="s">
        <v>3267</v>
      </c>
    </row>
    <row r="182" spans="2:18" s="5" customFormat="1" ht="62.25" customHeight="1" x14ac:dyDescent="0.25">
      <c r="B182" s="27">
        <v>43208</v>
      </c>
      <c r="C182" s="24" t="s">
        <v>2351</v>
      </c>
      <c r="D182" s="26" t="s">
        <v>3263</v>
      </c>
      <c r="E182" s="26" t="s">
        <v>3279</v>
      </c>
      <c r="F182" s="26" t="s">
        <v>3265</v>
      </c>
      <c r="G182" s="26" t="s">
        <v>28</v>
      </c>
      <c r="H182" s="26" t="s">
        <v>23</v>
      </c>
      <c r="I182" s="26" t="s">
        <v>3266</v>
      </c>
      <c r="J182" s="46">
        <f t="shared" si="19"/>
        <v>22531.552600000003</v>
      </c>
      <c r="K182" s="46">
        <v>49.318399999999997</v>
      </c>
      <c r="L182" s="47">
        <f t="shared" si="20"/>
        <v>456.8589532507138</v>
      </c>
      <c r="M182" s="26">
        <v>60</v>
      </c>
      <c r="N182" s="37">
        <f t="shared" si="21"/>
        <v>375.5258766666667</v>
      </c>
      <c r="O182" s="38">
        <f t="shared" ca="1" si="17"/>
        <v>70</v>
      </c>
      <c r="P182" s="36">
        <f t="shared" ca="1" si="14"/>
        <v>-3755.2587666666659</v>
      </c>
      <c r="Q182" s="36">
        <f t="shared" ca="1" si="13"/>
        <v>1</v>
      </c>
      <c r="R182" s="50" t="s">
        <v>3267</v>
      </c>
    </row>
    <row r="183" spans="2:18" s="5" customFormat="1" ht="66.75" customHeight="1" x14ac:dyDescent="0.25">
      <c r="B183" s="27">
        <v>43208</v>
      </c>
      <c r="C183" s="24" t="s">
        <v>2351</v>
      </c>
      <c r="D183" s="26" t="s">
        <v>3263</v>
      </c>
      <c r="E183" s="26" t="s">
        <v>3280</v>
      </c>
      <c r="F183" s="26" t="s">
        <v>3265</v>
      </c>
      <c r="G183" s="26" t="s">
        <v>28</v>
      </c>
      <c r="H183" s="26" t="s">
        <v>23</v>
      </c>
      <c r="I183" s="26" t="s">
        <v>3266</v>
      </c>
      <c r="J183" s="46">
        <f t="shared" si="19"/>
        <v>22531.552600000003</v>
      </c>
      <c r="K183" s="46">
        <v>49.318399999999997</v>
      </c>
      <c r="L183" s="47">
        <f t="shared" si="20"/>
        <v>456.8589532507138</v>
      </c>
      <c r="M183" s="26">
        <v>60</v>
      </c>
      <c r="N183" s="37">
        <f t="shared" si="21"/>
        <v>375.5258766666667</v>
      </c>
      <c r="O183" s="38">
        <f t="shared" ca="1" si="17"/>
        <v>70</v>
      </c>
      <c r="P183" s="36">
        <f t="shared" ca="1" si="14"/>
        <v>-3755.2587666666659</v>
      </c>
      <c r="Q183" s="36">
        <f t="shared" ca="1" si="13"/>
        <v>1</v>
      </c>
      <c r="R183" s="50" t="s">
        <v>3267</v>
      </c>
    </row>
    <row r="184" spans="2:18" s="5" customFormat="1" ht="73.5" customHeight="1" x14ac:dyDescent="0.25">
      <c r="B184" s="27">
        <v>43208</v>
      </c>
      <c r="C184" s="24" t="s">
        <v>2351</v>
      </c>
      <c r="D184" s="26" t="s">
        <v>3263</v>
      </c>
      <c r="E184" s="26" t="s">
        <v>3281</v>
      </c>
      <c r="F184" s="26" t="s">
        <v>3265</v>
      </c>
      <c r="G184" s="26" t="s">
        <v>28</v>
      </c>
      <c r="H184" s="26" t="s">
        <v>23</v>
      </c>
      <c r="I184" s="26" t="s">
        <v>3266</v>
      </c>
      <c r="J184" s="46">
        <f t="shared" si="19"/>
        <v>22531.552600000003</v>
      </c>
      <c r="K184" s="46">
        <v>49.318399999999997</v>
      </c>
      <c r="L184" s="47">
        <f t="shared" si="20"/>
        <v>456.8589532507138</v>
      </c>
      <c r="M184" s="26">
        <v>60</v>
      </c>
      <c r="N184" s="37">
        <f t="shared" si="21"/>
        <v>375.5258766666667</v>
      </c>
      <c r="O184" s="38">
        <f t="shared" ca="1" si="17"/>
        <v>70</v>
      </c>
      <c r="P184" s="36">
        <f t="shared" ca="1" si="14"/>
        <v>-3755.2587666666659</v>
      </c>
      <c r="Q184" s="36">
        <f t="shared" ca="1" si="13"/>
        <v>1</v>
      </c>
      <c r="R184" s="50" t="s">
        <v>3267</v>
      </c>
    </row>
    <row r="185" spans="2:18" s="5" customFormat="1" ht="77.25" customHeight="1" x14ac:dyDescent="0.25">
      <c r="B185" s="27">
        <v>43208</v>
      </c>
      <c r="C185" s="24" t="s">
        <v>2351</v>
      </c>
      <c r="D185" s="26" t="s">
        <v>3263</v>
      </c>
      <c r="E185" s="26" t="s">
        <v>3282</v>
      </c>
      <c r="F185" s="26" t="s">
        <v>3265</v>
      </c>
      <c r="G185" s="26" t="s">
        <v>28</v>
      </c>
      <c r="H185" s="26" t="s">
        <v>23</v>
      </c>
      <c r="I185" s="26" t="s">
        <v>3266</v>
      </c>
      <c r="J185" s="46">
        <f t="shared" si="19"/>
        <v>22531.552600000003</v>
      </c>
      <c r="K185" s="46">
        <v>49.318399999999997</v>
      </c>
      <c r="L185" s="47">
        <f t="shared" si="20"/>
        <v>456.8589532507138</v>
      </c>
      <c r="M185" s="26">
        <v>60</v>
      </c>
      <c r="N185" s="37">
        <f t="shared" si="21"/>
        <v>375.5258766666667</v>
      </c>
      <c r="O185" s="38">
        <f t="shared" ca="1" si="17"/>
        <v>70</v>
      </c>
      <c r="P185" s="36">
        <f t="shared" ca="1" si="14"/>
        <v>-3755.2587666666659</v>
      </c>
      <c r="Q185" s="36">
        <f t="shared" ref="Q185:Q235" ca="1" si="22">IF(P185&lt;1,1,P185)</f>
        <v>1</v>
      </c>
      <c r="R185" s="50" t="s">
        <v>3267</v>
      </c>
    </row>
    <row r="186" spans="2:18" s="5" customFormat="1" ht="70.5" customHeight="1" x14ac:dyDescent="0.25">
      <c r="B186" s="27">
        <v>43208</v>
      </c>
      <c r="C186" s="24" t="s">
        <v>2351</v>
      </c>
      <c r="D186" s="26" t="s">
        <v>3263</v>
      </c>
      <c r="E186" s="26" t="s">
        <v>3283</v>
      </c>
      <c r="F186" s="26" t="s">
        <v>3265</v>
      </c>
      <c r="G186" s="26" t="s">
        <v>28</v>
      </c>
      <c r="H186" s="26" t="s">
        <v>23</v>
      </c>
      <c r="I186" s="26" t="s">
        <v>3266</v>
      </c>
      <c r="J186" s="46">
        <f t="shared" si="19"/>
        <v>22531.552600000003</v>
      </c>
      <c r="K186" s="46">
        <v>49.318399999999997</v>
      </c>
      <c r="L186" s="47">
        <f t="shared" si="20"/>
        <v>456.8589532507138</v>
      </c>
      <c r="M186" s="26">
        <v>60</v>
      </c>
      <c r="N186" s="37">
        <f t="shared" si="21"/>
        <v>375.5258766666667</v>
      </c>
      <c r="O186" s="38">
        <f t="shared" ca="1" si="17"/>
        <v>70</v>
      </c>
      <c r="P186" s="36">
        <f t="shared" ca="1" si="14"/>
        <v>-3755.2587666666659</v>
      </c>
      <c r="Q186" s="36">
        <f t="shared" ca="1" si="22"/>
        <v>1</v>
      </c>
      <c r="R186" s="50" t="s">
        <v>3267</v>
      </c>
    </row>
    <row r="187" spans="2:18" s="5" customFormat="1" ht="63.75" customHeight="1" x14ac:dyDescent="0.25">
      <c r="B187" s="27">
        <v>43208</v>
      </c>
      <c r="C187" s="24" t="s">
        <v>2351</v>
      </c>
      <c r="D187" s="26" t="s">
        <v>3263</v>
      </c>
      <c r="E187" s="26" t="s">
        <v>3284</v>
      </c>
      <c r="F187" s="26" t="s">
        <v>3265</v>
      </c>
      <c r="G187" s="26" t="s">
        <v>28</v>
      </c>
      <c r="H187" s="26" t="s">
        <v>23</v>
      </c>
      <c r="I187" s="26" t="s">
        <v>3266</v>
      </c>
      <c r="J187" s="46">
        <f t="shared" si="19"/>
        <v>22531.552600000003</v>
      </c>
      <c r="K187" s="46">
        <v>49.318399999999997</v>
      </c>
      <c r="L187" s="47">
        <f t="shared" si="20"/>
        <v>456.8589532507138</v>
      </c>
      <c r="M187" s="26">
        <v>60</v>
      </c>
      <c r="N187" s="37">
        <f t="shared" si="21"/>
        <v>375.5258766666667</v>
      </c>
      <c r="O187" s="38">
        <f t="shared" ca="1" si="17"/>
        <v>70</v>
      </c>
      <c r="P187" s="36">
        <f t="shared" ca="1" si="14"/>
        <v>-3755.2587666666659</v>
      </c>
      <c r="Q187" s="36">
        <f t="shared" ca="1" si="22"/>
        <v>1</v>
      </c>
      <c r="R187" s="50" t="s">
        <v>3267</v>
      </c>
    </row>
    <row r="188" spans="2:18" s="5" customFormat="1" ht="72.75" customHeight="1" x14ac:dyDescent="0.25">
      <c r="B188" s="27">
        <v>43208</v>
      </c>
      <c r="C188" s="24" t="s">
        <v>2351</v>
      </c>
      <c r="D188" s="26" t="s">
        <v>3263</v>
      </c>
      <c r="E188" s="26" t="s">
        <v>3285</v>
      </c>
      <c r="F188" s="26" t="s">
        <v>3265</v>
      </c>
      <c r="G188" s="26" t="s">
        <v>28</v>
      </c>
      <c r="H188" s="26" t="s">
        <v>23</v>
      </c>
      <c r="I188" s="26" t="s">
        <v>3266</v>
      </c>
      <c r="J188" s="46">
        <f t="shared" si="19"/>
        <v>22531.552600000003</v>
      </c>
      <c r="K188" s="46">
        <v>49.318399999999997</v>
      </c>
      <c r="L188" s="47">
        <f t="shared" si="20"/>
        <v>456.8589532507138</v>
      </c>
      <c r="M188" s="26">
        <v>60</v>
      </c>
      <c r="N188" s="37">
        <f t="shared" si="21"/>
        <v>375.5258766666667</v>
      </c>
      <c r="O188" s="38">
        <f t="shared" ca="1" si="17"/>
        <v>70</v>
      </c>
      <c r="P188" s="36">
        <f t="shared" ca="1" si="14"/>
        <v>-3755.2587666666659</v>
      </c>
      <c r="Q188" s="36">
        <f t="shared" ca="1" si="22"/>
        <v>1</v>
      </c>
      <c r="R188" s="50" t="s">
        <v>3267</v>
      </c>
    </row>
    <row r="189" spans="2:18" s="5" customFormat="1" ht="64.5" customHeight="1" x14ac:dyDescent="0.25">
      <c r="B189" s="27">
        <v>43208</v>
      </c>
      <c r="C189" s="24" t="s">
        <v>2351</v>
      </c>
      <c r="D189" s="26" t="s">
        <v>3263</v>
      </c>
      <c r="E189" s="26" t="s">
        <v>3286</v>
      </c>
      <c r="F189" s="26" t="s">
        <v>3265</v>
      </c>
      <c r="G189" s="26" t="s">
        <v>28</v>
      </c>
      <c r="H189" s="26" t="s">
        <v>23</v>
      </c>
      <c r="I189" s="26" t="s">
        <v>3266</v>
      </c>
      <c r="J189" s="46">
        <f t="shared" si="19"/>
        <v>22531.552600000003</v>
      </c>
      <c r="K189" s="46">
        <v>49.318399999999997</v>
      </c>
      <c r="L189" s="47">
        <f t="shared" si="20"/>
        <v>456.8589532507138</v>
      </c>
      <c r="M189" s="26">
        <v>60</v>
      </c>
      <c r="N189" s="37">
        <f t="shared" si="21"/>
        <v>375.5258766666667</v>
      </c>
      <c r="O189" s="38">
        <f t="shared" ca="1" si="17"/>
        <v>70</v>
      </c>
      <c r="P189" s="36">
        <f t="shared" ca="1" si="14"/>
        <v>-3755.2587666666659</v>
      </c>
      <c r="Q189" s="36">
        <f t="shared" ca="1" si="22"/>
        <v>1</v>
      </c>
      <c r="R189" s="50" t="s">
        <v>3267</v>
      </c>
    </row>
    <row r="190" spans="2:18" s="5" customFormat="1" ht="67.5" customHeight="1" x14ac:dyDescent="0.25">
      <c r="B190" s="27">
        <v>43208</v>
      </c>
      <c r="C190" s="24" t="s">
        <v>2351</v>
      </c>
      <c r="D190" s="26" t="s">
        <v>3263</v>
      </c>
      <c r="E190" s="26" t="s">
        <v>3287</v>
      </c>
      <c r="F190" s="26" t="s">
        <v>3265</v>
      </c>
      <c r="G190" s="26" t="s">
        <v>28</v>
      </c>
      <c r="H190" s="26" t="s">
        <v>23</v>
      </c>
      <c r="I190" s="26" t="s">
        <v>3266</v>
      </c>
      <c r="J190" s="46">
        <f t="shared" si="19"/>
        <v>22531.552600000003</v>
      </c>
      <c r="K190" s="46">
        <v>49.318399999999997</v>
      </c>
      <c r="L190" s="47">
        <f t="shared" si="20"/>
        <v>456.8589532507138</v>
      </c>
      <c r="M190" s="26">
        <v>60</v>
      </c>
      <c r="N190" s="37">
        <f t="shared" si="21"/>
        <v>375.5258766666667</v>
      </c>
      <c r="O190" s="38">
        <f t="shared" ca="1" si="17"/>
        <v>70</v>
      </c>
      <c r="P190" s="36">
        <f t="shared" ca="1" si="14"/>
        <v>-3755.2587666666659</v>
      </c>
      <c r="Q190" s="36">
        <f t="shared" ca="1" si="22"/>
        <v>1</v>
      </c>
      <c r="R190" s="50" t="s">
        <v>3267</v>
      </c>
    </row>
    <row r="191" spans="2:18" s="5" customFormat="1" ht="69" customHeight="1" x14ac:dyDescent="0.25">
      <c r="B191" s="27">
        <v>43208</v>
      </c>
      <c r="C191" s="24" t="s">
        <v>2351</v>
      </c>
      <c r="D191" s="26" t="s">
        <v>3263</v>
      </c>
      <c r="E191" s="26" t="s">
        <v>3288</v>
      </c>
      <c r="F191" s="26" t="s">
        <v>3265</v>
      </c>
      <c r="G191" s="26" t="s">
        <v>28</v>
      </c>
      <c r="H191" s="26" t="s">
        <v>23</v>
      </c>
      <c r="I191" s="26" t="s">
        <v>3266</v>
      </c>
      <c r="J191" s="46">
        <f t="shared" si="19"/>
        <v>22531.552600000003</v>
      </c>
      <c r="K191" s="46">
        <v>49.318399999999997</v>
      </c>
      <c r="L191" s="47">
        <f t="shared" si="20"/>
        <v>456.8589532507138</v>
      </c>
      <c r="M191" s="26">
        <v>60</v>
      </c>
      <c r="N191" s="37">
        <f t="shared" si="21"/>
        <v>375.5258766666667</v>
      </c>
      <c r="O191" s="38">
        <f t="shared" ca="1" si="17"/>
        <v>70</v>
      </c>
      <c r="P191" s="36">
        <f t="shared" ca="1" si="14"/>
        <v>-3755.2587666666659</v>
      </c>
      <c r="Q191" s="36">
        <f t="shared" ca="1" si="22"/>
        <v>1</v>
      </c>
      <c r="R191" s="50" t="s">
        <v>3267</v>
      </c>
    </row>
    <row r="192" spans="2:18" s="5" customFormat="1" ht="67.5" customHeight="1" x14ac:dyDescent="0.25">
      <c r="B192" s="27">
        <v>43208</v>
      </c>
      <c r="C192" s="24" t="s">
        <v>2351</v>
      </c>
      <c r="D192" s="26" t="s">
        <v>3263</v>
      </c>
      <c r="E192" s="26" t="s">
        <v>3289</v>
      </c>
      <c r="F192" s="26" t="s">
        <v>3265</v>
      </c>
      <c r="G192" s="26" t="s">
        <v>28</v>
      </c>
      <c r="H192" s="26" t="s">
        <v>23</v>
      </c>
      <c r="I192" s="26" t="s">
        <v>3266</v>
      </c>
      <c r="J192" s="46">
        <f t="shared" si="19"/>
        <v>22531.552600000003</v>
      </c>
      <c r="K192" s="46">
        <v>49.318399999999997</v>
      </c>
      <c r="L192" s="47">
        <f t="shared" si="20"/>
        <v>456.8589532507138</v>
      </c>
      <c r="M192" s="26">
        <v>60</v>
      </c>
      <c r="N192" s="37">
        <f t="shared" si="21"/>
        <v>375.5258766666667</v>
      </c>
      <c r="O192" s="38">
        <f t="shared" ca="1" si="17"/>
        <v>70</v>
      </c>
      <c r="P192" s="36">
        <f t="shared" ca="1" si="14"/>
        <v>-3755.2587666666659</v>
      </c>
      <c r="Q192" s="36">
        <f t="shared" ca="1" si="22"/>
        <v>1</v>
      </c>
      <c r="R192" s="50" t="s">
        <v>3267</v>
      </c>
    </row>
    <row r="193" spans="2:25" s="5" customFormat="1" ht="75" customHeight="1" x14ac:dyDescent="0.25">
      <c r="B193" s="27">
        <v>43208</v>
      </c>
      <c r="C193" s="24" t="s">
        <v>2351</v>
      </c>
      <c r="D193" s="26" t="s">
        <v>3263</v>
      </c>
      <c r="E193" s="26" t="s">
        <v>3290</v>
      </c>
      <c r="F193" s="26" t="s">
        <v>3265</v>
      </c>
      <c r="G193" s="26" t="s">
        <v>28</v>
      </c>
      <c r="H193" s="26" t="s">
        <v>23</v>
      </c>
      <c r="I193" s="26" t="s">
        <v>3266</v>
      </c>
      <c r="J193" s="46">
        <f t="shared" si="19"/>
        <v>22531.552600000003</v>
      </c>
      <c r="K193" s="46">
        <v>49.318399999999997</v>
      </c>
      <c r="L193" s="47">
        <f t="shared" si="20"/>
        <v>456.8589532507138</v>
      </c>
      <c r="M193" s="26">
        <v>60</v>
      </c>
      <c r="N193" s="37">
        <f t="shared" si="21"/>
        <v>375.5258766666667</v>
      </c>
      <c r="O193" s="38">
        <f t="shared" ca="1" si="17"/>
        <v>70</v>
      </c>
      <c r="P193" s="36">
        <f t="shared" ca="1" si="14"/>
        <v>-3755.2587666666659</v>
      </c>
      <c r="Q193" s="36">
        <f t="shared" ca="1" si="22"/>
        <v>1</v>
      </c>
      <c r="R193" s="50" t="s">
        <v>3267</v>
      </c>
    </row>
    <row r="194" spans="2:25" s="5" customFormat="1" ht="69.75" customHeight="1" x14ac:dyDescent="0.25">
      <c r="B194" s="27">
        <v>43208</v>
      </c>
      <c r="C194" s="24" t="s">
        <v>2351</v>
      </c>
      <c r="D194" s="26" t="s">
        <v>3263</v>
      </c>
      <c r="E194" s="26" t="s">
        <v>3291</v>
      </c>
      <c r="F194" s="26" t="s">
        <v>3265</v>
      </c>
      <c r="G194" s="26" t="s">
        <v>28</v>
      </c>
      <c r="H194" s="26" t="s">
        <v>23</v>
      </c>
      <c r="I194" s="26" t="s">
        <v>3266</v>
      </c>
      <c r="J194" s="46">
        <f t="shared" si="19"/>
        <v>22531.552600000003</v>
      </c>
      <c r="K194" s="46">
        <v>49.318399999999997</v>
      </c>
      <c r="L194" s="47">
        <f t="shared" si="20"/>
        <v>456.8589532507138</v>
      </c>
      <c r="M194" s="26">
        <v>60</v>
      </c>
      <c r="N194" s="37">
        <f t="shared" si="21"/>
        <v>375.5258766666667</v>
      </c>
      <c r="O194" s="38">
        <f t="shared" ca="1" si="17"/>
        <v>70</v>
      </c>
      <c r="P194" s="36">
        <f t="shared" ca="1" si="14"/>
        <v>-3755.2587666666659</v>
      </c>
      <c r="Q194" s="36">
        <f t="shared" ca="1" si="22"/>
        <v>1</v>
      </c>
      <c r="R194" s="50" t="s">
        <v>3267</v>
      </c>
    </row>
    <row r="195" spans="2:25" s="5" customFormat="1" ht="66.75" customHeight="1" x14ac:dyDescent="0.25">
      <c r="B195" s="27">
        <v>43208</v>
      </c>
      <c r="C195" s="24" t="s">
        <v>2351</v>
      </c>
      <c r="D195" s="26" t="s">
        <v>3263</v>
      </c>
      <c r="E195" s="26" t="s">
        <v>3292</v>
      </c>
      <c r="F195" s="26" t="s">
        <v>3265</v>
      </c>
      <c r="G195" s="26" t="s">
        <v>28</v>
      </c>
      <c r="H195" s="26" t="s">
        <v>23</v>
      </c>
      <c r="I195" s="26" t="s">
        <v>3266</v>
      </c>
      <c r="J195" s="46">
        <f t="shared" si="19"/>
        <v>22531.552600000003</v>
      </c>
      <c r="K195" s="46">
        <v>49.318399999999997</v>
      </c>
      <c r="L195" s="47">
        <f t="shared" si="20"/>
        <v>456.8589532507138</v>
      </c>
      <c r="M195" s="26">
        <v>60</v>
      </c>
      <c r="N195" s="37">
        <f t="shared" si="21"/>
        <v>375.5258766666667</v>
      </c>
      <c r="O195" s="38">
        <f t="shared" ca="1" si="17"/>
        <v>70</v>
      </c>
      <c r="P195" s="36">
        <f t="shared" ca="1" si="14"/>
        <v>-3755.2587666666659</v>
      </c>
      <c r="Q195" s="36">
        <f t="shared" ca="1" si="22"/>
        <v>1</v>
      </c>
      <c r="R195" s="50" t="s">
        <v>3267</v>
      </c>
    </row>
    <row r="196" spans="2:25" s="5" customFormat="1" ht="75" customHeight="1" x14ac:dyDescent="0.25">
      <c r="B196" s="27">
        <v>43208</v>
      </c>
      <c r="C196" s="24" t="s">
        <v>2351</v>
      </c>
      <c r="D196" s="26" t="s">
        <v>3263</v>
      </c>
      <c r="E196" s="26" t="s">
        <v>3293</v>
      </c>
      <c r="F196" s="26" t="s">
        <v>3265</v>
      </c>
      <c r="G196" s="26" t="s">
        <v>28</v>
      </c>
      <c r="H196" s="26" t="s">
        <v>23</v>
      </c>
      <c r="I196" s="26" t="s">
        <v>3266</v>
      </c>
      <c r="J196" s="46">
        <f t="shared" si="19"/>
        <v>22531.552600000003</v>
      </c>
      <c r="K196" s="46">
        <v>49.318399999999997</v>
      </c>
      <c r="L196" s="47">
        <f t="shared" si="20"/>
        <v>456.8589532507138</v>
      </c>
      <c r="M196" s="26">
        <v>60</v>
      </c>
      <c r="N196" s="37">
        <f t="shared" si="21"/>
        <v>375.5258766666667</v>
      </c>
      <c r="O196" s="38">
        <f t="shared" ca="1" si="17"/>
        <v>70</v>
      </c>
      <c r="P196" s="36">
        <f t="shared" ca="1" si="14"/>
        <v>-3755.2587666666659</v>
      </c>
      <c r="Q196" s="36">
        <f t="shared" ca="1" si="22"/>
        <v>1</v>
      </c>
      <c r="R196" s="50" t="s">
        <v>3267</v>
      </c>
    </row>
    <row r="197" spans="2:25" s="5" customFormat="1" ht="67.5" customHeight="1" x14ac:dyDescent="0.25">
      <c r="B197" s="27">
        <v>43208</v>
      </c>
      <c r="C197" s="24" t="s">
        <v>2351</v>
      </c>
      <c r="D197" s="26" t="s">
        <v>3263</v>
      </c>
      <c r="E197" s="26" t="s">
        <v>3294</v>
      </c>
      <c r="F197" s="26" t="s">
        <v>3265</v>
      </c>
      <c r="G197" s="26" t="s">
        <v>28</v>
      </c>
      <c r="H197" s="26" t="s">
        <v>23</v>
      </c>
      <c r="I197" s="26" t="s">
        <v>3266</v>
      </c>
      <c r="J197" s="46">
        <f t="shared" si="19"/>
        <v>22531.552600000003</v>
      </c>
      <c r="K197" s="46">
        <v>49.318399999999997</v>
      </c>
      <c r="L197" s="47">
        <f t="shared" si="20"/>
        <v>456.8589532507138</v>
      </c>
      <c r="M197" s="26">
        <v>60</v>
      </c>
      <c r="N197" s="37">
        <f t="shared" si="21"/>
        <v>375.5258766666667</v>
      </c>
      <c r="O197" s="38">
        <f t="shared" ca="1" si="17"/>
        <v>70</v>
      </c>
      <c r="P197" s="36">
        <f t="shared" ca="1" si="14"/>
        <v>-3755.2587666666659</v>
      </c>
      <c r="Q197" s="36">
        <f t="shared" ca="1" si="22"/>
        <v>1</v>
      </c>
      <c r="R197" s="50" t="s">
        <v>3267</v>
      </c>
    </row>
    <row r="198" spans="2:25" s="5" customFormat="1" ht="67.5" customHeight="1" x14ac:dyDescent="0.25">
      <c r="B198" s="27">
        <v>43208</v>
      </c>
      <c r="C198" s="24" t="s">
        <v>2351</v>
      </c>
      <c r="D198" s="26" t="s">
        <v>3263</v>
      </c>
      <c r="E198" s="26" t="s">
        <v>3295</v>
      </c>
      <c r="F198" s="26" t="s">
        <v>3265</v>
      </c>
      <c r="G198" s="26" t="s">
        <v>28</v>
      </c>
      <c r="H198" s="26" t="s">
        <v>23</v>
      </c>
      <c r="I198" s="26" t="s">
        <v>3266</v>
      </c>
      <c r="J198" s="46">
        <f t="shared" si="19"/>
        <v>22531.552600000003</v>
      </c>
      <c r="K198" s="46">
        <v>49.318399999999997</v>
      </c>
      <c r="L198" s="47">
        <f t="shared" si="20"/>
        <v>456.8589532507138</v>
      </c>
      <c r="M198" s="26">
        <v>60</v>
      </c>
      <c r="N198" s="37">
        <f t="shared" si="21"/>
        <v>375.5258766666667</v>
      </c>
      <c r="O198" s="38">
        <f t="shared" ca="1" si="17"/>
        <v>70</v>
      </c>
      <c r="P198" s="36">
        <f t="shared" ca="1" si="14"/>
        <v>-3755.2587666666659</v>
      </c>
      <c r="Q198" s="36">
        <f t="shared" ca="1" si="22"/>
        <v>1</v>
      </c>
      <c r="R198" s="50" t="s">
        <v>3267</v>
      </c>
    </row>
    <row r="199" spans="2:25" s="5" customFormat="1" ht="74.25" customHeight="1" x14ac:dyDescent="0.25">
      <c r="B199" s="27">
        <v>43208</v>
      </c>
      <c r="C199" s="24" t="s">
        <v>2351</v>
      </c>
      <c r="D199" s="26" t="s">
        <v>3263</v>
      </c>
      <c r="E199" s="26" t="s">
        <v>3296</v>
      </c>
      <c r="F199" s="26" t="s">
        <v>3265</v>
      </c>
      <c r="G199" s="26" t="s">
        <v>28</v>
      </c>
      <c r="H199" s="26" t="s">
        <v>23</v>
      </c>
      <c r="I199" s="26" t="s">
        <v>3266</v>
      </c>
      <c r="J199" s="46">
        <f t="shared" si="19"/>
        <v>22531.552600000003</v>
      </c>
      <c r="K199" s="46">
        <v>49.318399999999997</v>
      </c>
      <c r="L199" s="47">
        <f t="shared" si="20"/>
        <v>456.8589532507138</v>
      </c>
      <c r="M199" s="26">
        <v>60</v>
      </c>
      <c r="N199" s="37">
        <f t="shared" si="21"/>
        <v>375.5258766666667</v>
      </c>
      <c r="O199" s="38">
        <f t="shared" ca="1" si="17"/>
        <v>70</v>
      </c>
      <c r="P199" s="36">
        <f t="shared" ca="1" si="14"/>
        <v>-3755.2587666666659</v>
      </c>
      <c r="Q199" s="36">
        <f t="shared" ca="1" si="22"/>
        <v>1</v>
      </c>
      <c r="R199" s="50" t="s">
        <v>3267</v>
      </c>
      <c r="Y199" s="5" t="s">
        <v>2050</v>
      </c>
    </row>
    <row r="200" spans="2:25" s="5" customFormat="1" ht="74.25" customHeight="1" x14ac:dyDescent="0.25">
      <c r="B200" s="27">
        <v>43208</v>
      </c>
      <c r="C200" s="24" t="s">
        <v>2351</v>
      </c>
      <c r="D200" s="26" t="s">
        <v>3263</v>
      </c>
      <c r="E200" s="26" t="s">
        <v>3297</v>
      </c>
      <c r="F200" s="26" t="s">
        <v>3265</v>
      </c>
      <c r="G200" s="26" t="s">
        <v>28</v>
      </c>
      <c r="H200" s="26" t="s">
        <v>23</v>
      </c>
      <c r="I200" s="26" t="s">
        <v>3266</v>
      </c>
      <c r="J200" s="46">
        <f t="shared" si="19"/>
        <v>22531.552600000003</v>
      </c>
      <c r="K200" s="46">
        <v>49.318399999999997</v>
      </c>
      <c r="L200" s="47">
        <f t="shared" si="20"/>
        <v>456.8589532507138</v>
      </c>
      <c r="M200" s="26">
        <v>60</v>
      </c>
      <c r="N200" s="37">
        <f t="shared" si="21"/>
        <v>375.5258766666667</v>
      </c>
      <c r="O200" s="38">
        <f t="shared" ca="1" si="17"/>
        <v>70</v>
      </c>
      <c r="P200" s="36">
        <f t="shared" ca="1" si="14"/>
        <v>-3755.2587666666659</v>
      </c>
      <c r="Q200" s="36">
        <f t="shared" ca="1" si="22"/>
        <v>1</v>
      </c>
      <c r="R200" s="50" t="s">
        <v>3267</v>
      </c>
    </row>
    <row r="201" spans="2:25" s="5" customFormat="1" ht="72" customHeight="1" x14ac:dyDescent="0.25">
      <c r="B201" s="27">
        <v>43208</v>
      </c>
      <c r="C201" s="24" t="s">
        <v>2351</v>
      </c>
      <c r="D201" s="26" t="s">
        <v>3263</v>
      </c>
      <c r="E201" s="26" t="s">
        <v>3298</v>
      </c>
      <c r="F201" s="26" t="s">
        <v>3265</v>
      </c>
      <c r="G201" s="26" t="s">
        <v>28</v>
      </c>
      <c r="H201" s="26" t="s">
        <v>23</v>
      </c>
      <c r="I201" s="26" t="s">
        <v>3266</v>
      </c>
      <c r="J201" s="46">
        <f t="shared" si="19"/>
        <v>22531.552600000003</v>
      </c>
      <c r="K201" s="46">
        <v>49.318399999999997</v>
      </c>
      <c r="L201" s="47">
        <f t="shared" si="20"/>
        <v>456.8589532507138</v>
      </c>
      <c r="M201" s="26">
        <v>60</v>
      </c>
      <c r="N201" s="37">
        <f t="shared" si="21"/>
        <v>375.5258766666667</v>
      </c>
      <c r="O201" s="38">
        <f t="shared" ca="1" si="17"/>
        <v>70</v>
      </c>
      <c r="P201" s="36">
        <f t="shared" ref="P201:P264" ca="1" si="23">IF(OR(J201=0,M201=0,O201=0),0,J201-(N201*O201))</f>
        <v>-3755.2587666666659</v>
      </c>
      <c r="Q201" s="36">
        <f t="shared" ca="1" si="22"/>
        <v>1</v>
      </c>
      <c r="R201" s="50" t="s">
        <v>3267</v>
      </c>
    </row>
    <row r="202" spans="2:25" s="5" customFormat="1" ht="69" customHeight="1" x14ac:dyDescent="0.25">
      <c r="B202" s="27">
        <v>43208</v>
      </c>
      <c r="C202" s="24" t="s">
        <v>2351</v>
      </c>
      <c r="D202" s="26" t="s">
        <v>3263</v>
      </c>
      <c r="E202" s="26" t="s">
        <v>3299</v>
      </c>
      <c r="F202" s="26" t="s">
        <v>3265</v>
      </c>
      <c r="G202" s="26" t="s">
        <v>28</v>
      </c>
      <c r="H202" s="26" t="s">
        <v>23</v>
      </c>
      <c r="I202" s="26" t="s">
        <v>3266</v>
      </c>
      <c r="J202" s="46">
        <f t="shared" si="19"/>
        <v>22531.552600000003</v>
      </c>
      <c r="K202" s="46">
        <v>49.318399999999997</v>
      </c>
      <c r="L202" s="47">
        <f t="shared" si="20"/>
        <v>456.8589532507138</v>
      </c>
      <c r="M202" s="26">
        <v>60</v>
      </c>
      <c r="N202" s="37">
        <f t="shared" si="21"/>
        <v>375.5258766666667</v>
      </c>
      <c r="O202" s="38">
        <f t="shared" ca="1" si="17"/>
        <v>70</v>
      </c>
      <c r="P202" s="36">
        <f t="shared" ca="1" si="23"/>
        <v>-3755.2587666666659</v>
      </c>
      <c r="Q202" s="36">
        <f t="shared" ca="1" si="22"/>
        <v>1</v>
      </c>
      <c r="R202" s="50" t="s">
        <v>3267</v>
      </c>
    </row>
    <row r="203" spans="2:25" s="5" customFormat="1" ht="70.5" customHeight="1" x14ac:dyDescent="0.25">
      <c r="B203" s="27">
        <v>43208</v>
      </c>
      <c r="C203" s="24" t="s">
        <v>2351</v>
      </c>
      <c r="D203" s="26" t="s">
        <v>3263</v>
      </c>
      <c r="E203" s="26" t="s">
        <v>3300</v>
      </c>
      <c r="F203" s="26" t="s">
        <v>3265</v>
      </c>
      <c r="G203" s="26" t="s">
        <v>28</v>
      </c>
      <c r="H203" s="26" t="s">
        <v>23</v>
      </c>
      <c r="I203" s="26" t="s">
        <v>3266</v>
      </c>
      <c r="J203" s="46">
        <f t="shared" si="19"/>
        <v>22531.552600000003</v>
      </c>
      <c r="K203" s="46">
        <v>49.318399999999997</v>
      </c>
      <c r="L203" s="47">
        <f t="shared" si="20"/>
        <v>456.8589532507138</v>
      </c>
      <c r="M203" s="26">
        <v>60</v>
      </c>
      <c r="N203" s="37">
        <f t="shared" si="21"/>
        <v>375.5258766666667</v>
      </c>
      <c r="O203" s="38">
        <f t="shared" ca="1" si="17"/>
        <v>70</v>
      </c>
      <c r="P203" s="36">
        <f t="shared" ca="1" si="23"/>
        <v>-3755.2587666666659</v>
      </c>
      <c r="Q203" s="36">
        <f t="shared" ca="1" si="22"/>
        <v>1</v>
      </c>
      <c r="R203" s="50" t="s">
        <v>3267</v>
      </c>
    </row>
    <row r="204" spans="2:25" s="5" customFormat="1" ht="68.25" customHeight="1" x14ac:dyDescent="0.25">
      <c r="B204" s="27">
        <v>43208</v>
      </c>
      <c r="C204" s="24" t="s">
        <v>2351</v>
      </c>
      <c r="D204" s="26" t="s">
        <v>3263</v>
      </c>
      <c r="E204" s="26" t="s">
        <v>3301</v>
      </c>
      <c r="F204" s="26" t="s">
        <v>3265</v>
      </c>
      <c r="G204" s="26" t="s">
        <v>28</v>
      </c>
      <c r="H204" s="26" t="s">
        <v>23</v>
      </c>
      <c r="I204" s="26" t="s">
        <v>3266</v>
      </c>
      <c r="J204" s="46">
        <f t="shared" si="19"/>
        <v>22531.552600000003</v>
      </c>
      <c r="K204" s="46">
        <v>49.318399999999997</v>
      </c>
      <c r="L204" s="47">
        <f t="shared" si="20"/>
        <v>456.8589532507138</v>
      </c>
      <c r="M204" s="26">
        <v>60</v>
      </c>
      <c r="N204" s="37">
        <f t="shared" si="21"/>
        <v>375.5258766666667</v>
      </c>
      <c r="O204" s="38">
        <f t="shared" ca="1" si="17"/>
        <v>70</v>
      </c>
      <c r="P204" s="36">
        <f t="shared" ca="1" si="23"/>
        <v>-3755.2587666666659</v>
      </c>
      <c r="Q204" s="36">
        <f t="shared" ca="1" si="22"/>
        <v>1</v>
      </c>
      <c r="R204" s="50" t="s">
        <v>3267</v>
      </c>
    </row>
    <row r="205" spans="2:25" s="5" customFormat="1" ht="63.75" customHeight="1" x14ac:dyDescent="0.25">
      <c r="B205" s="27">
        <v>43252</v>
      </c>
      <c r="C205" s="24" t="s">
        <v>2351</v>
      </c>
      <c r="D205" s="26" t="s">
        <v>3302</v>
      </c>
      <c r="E205" s="26" t="s">
        <v>3303</v>
      </c>
      <c r="F205" s="26" t="s">
        <v>3304</v>
      </c>
      <c r="G205" s="26" t="s">
        <v>28</v>
      </c>
      <c r="H205" s="26" t="s">
        <v>1156</v>
      </c>
      <c r="I205" s="26" t="s">
        <v>19</v>
      </c>
      <c r="J205" s="46">
        <v>14514</v>
      </c>
      <c r="K205" s="46">
        <v>49.308599999999998</v>
      </c>
      <c r="L205" s="47">
        <f t="shared" si="20"/>
        <v>294.35027561115101</v>
      </c>
      <c r="M205" s="26">
        <v>60</v>
      </c>
      <c r="N205" s="37">
        <f t="shared" si="21"/>
        <v>241.9</v>
      </c>
      <c r="O205" s="38">
        <f t="shared" ref="O205:O249" ca="1" si="24">IF(B205&lt;&gt;0,(ROUND((NOW()-B205)/30,0)),0)</f>
        <v>68</v>
      </c>
      <c r="P205" s="36">
        <f t="shared" ca="1" si="23"/>
        <v>-1935.2000000000007</v>
      </c>
      <c r="Q205" s="36">
        <f t="shared" ca="1" si="22"/>
        <v>1</v>
      </c>
      <c r="R205" s="50" t="s">
        <v>2663</v>
      </c>
    </row>
    <row r="206" spans="2:25" s="5" customFormat="1" ht="54" customHeight="1" x14ac:dyDescent="0.25">
      <c r="B206" s="27">
        <v>43280</v>
      </c>
      <c r="C206" s="24" t="s">
        <v>2351</v>
      </c>
      <c r="D206" s="26" t="s">
        <v>3305</v>
      </c>
      <c r="E206" s="26" t="s">
        <v>3306</v>
      </c>
      <c r="F206" s="26" t="s">
        <v>3307</v>
      </c>
      <c r="G206" s="26" t="s">
        <v>3308</v>
      </c>
      <c r="H206" s="26" t="s">
        <v>3309</v>
      </c>
      <c r="I206" s="26" t="s">
        <v>19</v>
      </c>
      <c r="J206" s="46">
        <v>34990.01</v>
      </c>
      <c r="K206" s="46">
        <v>49.3401</v>
      </c>
      <c r="L206" s="47">
        <f t="shared" si="20"/>
        <v>709.15968958311805</v>
      </c>
      <c r="M206" s="26">
        <v>60</v>
      </c>
      <c r="N206" s="37">
        <f t="shared" si="21"/>
        <v>583.16683333333333</v>
      </c>
      <c r="O206" s="38">
        <f t="shared" ca="1" si="24"/>
        <v>67</v>
      </c>
      <c r="P206" s="36">
        <f t="shared" ca="1" si="23"/>
        <v>-4082.167833333333</v>
      </c>
      <c r="Q206" s="36">
        <f t="shared" ca="1" si="22"/>
        <v>1</v>
      </c>
      <c r="R206" s="50" t="s">
        <v>2713</v>
      </c>
    </row>
    <row r="207" spans="2:25" s="5" customFormat="1" ht="36" customHeight="1" x14ac:dyDescent="0.25">
      <c r="B207" s="27">
        <v>43319</v>
      </c>
      <c r="C207" s="24" t="s">
        <v>2351</v>
      </c>
      <c r="D207" s="26" t="s">
        <v>3310</v>
      </c>
      <c r="E207" s="26" t="s">
        <v>3311</v>
      </c>
      <c r="F207" s="26" t="s">
        <v>3312</v>
      </c>
      <c r="G207" s="26" t="s">
        <v>28</v>
      </c>
      <c r="H207" s="26" t="s">
        <v>3313</v>
      </c>
      <c r="I207" s="26" t="s">
        <v>19</v>
      </c>
      <c r="J207" s="46">
        <v>4574.62</v>
      </c>
      <c r="K207" s="46">
        <v>49.694299999999998</v>
      </c>
      <c r="L207" s="47">
        <f t="shared" ref="L207:L212" si="25">+J207/K207</f>
        <v>92.055225649621789</v>
      </c>
      <c r="M207" s="26">
        <v>60</v>
      </c>
      <c r="N207" s="37">
        <f t="shared" ref="N207:N212" si="26">IF(AND(J207&lt;&gt;0,M207&lt;&gt;0),J207/M207,0)</f>
        <v>76.24366666666667</v>
      </c>
      <c r="O207" s="38">
        <f t="shared" ca="1" si="24"/>
        <v>66</v>
      </c>
      <c r="P207" s="36">
        <f t="shared" ca="1" si="23"/>
        <v>-457.46200000000044</v>
      </c>
      <c r="Q207" s="36">
        <f t="shared" ca="1" si="22"/>
        <v>1</v>
      </c>
      <c r="R207" s="50" t="s">
        <v>3314</v>
      </c>
    </row>
    <row r="208" spans="2:25" s="5" customFormat="1" ht="46.9" customHeight="1" x14ac:dyDescent="0.25">
      <c r="B208" s="27">
        <v>43342</v>
      </c>
      <c r="C208" s="24" t="s">
        <v>2351</v>
      </c>
      <c r="D208" s="26" t="s">
        <v>3310</v>
      </c>
      <c r="E208" s="26" t="s">
        <v>3315</v>
      </c>
      <c r="F208" s="26" t="s">
        <v>3316</v>
      </c>
      <c r="G208" s="26" t="s">
        <v>28</v>
      </c>
      <c r="H208" s="26" t="s">
        <v>3317</v>
      </c>
      <c r="I208" s="26" t="s">
        <v>19</v>
      </c>
      <c r="J208" s="46">
        <v>4366</v>
      </c>
      <c r="K208" s="46">
        <v>49.694299999999998</v>
      </c>
      <c r="L208" s="47">
        <f t="shared" si="25"/>
        <v>87.857158668096744</v>
      </c>
      <c r="M208" s="26">
        <v>60</v>
      </c>
      <c r="N208" s="37">
        <f t="shared" si="26"/>
        <v>72.766666666666666</v>
      </c>
      <c r="O208" s="38">
        <f t="shared" ca="1" si="24"/>
        <v>65</v>
      </c>
      <c r="P208" s="36">
        <f t="shared" ca="1" si="23"/>
        <v>-363.83333333333303</v>
      </c>
      <c r="Q208" s="36">
        <f t="shared" ca="1" si="22"/>
        <v>1</v>
      </c>
      <c r="R208" s="50" t="s">
        <v>3314</v>
      </c>
    </row>
    <row r="209" spans="2:18" s="5" customFormat="1" ht="39.75" customHeight="1" x14ac:dyDescent="0.25">
      <c r="B209" s="27">
        <v>43342</v>
      </c>
      <c r="C209" s="24" t="s">
        <v>2351</v>
      </c>
      <c r="D209" s="26" t="s">
        <v>3310</v>
      </c>
      <c r="E209" s="26" t="s">
        <v>3318</v>
      </c>
      <c r="F209" s="26" t="s">
        <v>3316</v>
      </c>
      <c r="G209" s="26" t="s">
        <v>28</v>
      </c>
      <c r="H209" s="26" t="s">
        <v>3317</v>
      </c>
      <c r="I209" s="26" t="s">
        <v>19</v>
      </c>
      <c r="J209" s="46">
        <v>4366</v>
      </c>
      <c r="K209" s="46">
        <v>49.694299999999998</v>
      </c>
      <c r="L209" s="47">
        <f t="shared" si="25"/>
        <v>87.857158668096744</v>
      </c>
      <c r="M209" s="26">
        <v>60</v>
      </c>
      <c r="N209" s="37">
        <f t="shared" si="26"/>
        <v>72.766666666666666</v>
      </c>
      <c r="O209" s="38">
        <f t="shared" ca="1" si="24"/>
        <v>65</v>
      </c>
      <c r="P209" s="36">
        <f t="shared" ca="1" si="23"/>
        <v>-363.83333333333303</v>
      </c>
      <c r="Q209" s="36">
        <f t="shared" ca="1" si="22"/>
        <v>1</v>
      </c>
      <c r="R209" s="50" t="s">
        <v>3314</v>
      </c>
    </row>
    <row r="210" spans="2:18" s="5" customFormat="1" ht="58.5" customHeight="1" x14ac:dyDescent="0.25">
      <c r="B210" s="27">
        <v>43349</v>
      </c>
      <c r="C210" s="24" t="s">
        <v>2351</v>
      </c>
      <c r="D210" s="26" t="s">
        <v>3319</v>
      </c>
      <c r="E210" s="26" t="s">
        <v>3320</v>
      </c>
      <c r="F210" s="26" t="s">
        <v>3321</v>
      </c>
      <c r="G210" s="26" t="s">
        <v>3322</v>
      </c>
      <c r="H210" s="25" t="s">
        <v>204</v>
      </c>
      <c r="I210" s="26" t="s">
        <v>19</v>
      </c>
      <c r="J210" s="46">
        <v>16614.400000000001</v>
      </c>
      <c r="K210" s="46">
        <v>49.7318</v>
      </c>
      <c r="L210" s="47">
        <f t="shared" si="25"/>
        <v>334.08000514761181</v>
      </c>
      <c r="M210" s="26">
        <v>60</v>
      </c>
      <c r="N210" s="37">
        <f t="shared" si="26"/>
        <v>276.90666666666669</v>
      </c>
      <c r="O210" s="38">
        <f t="shared" ca="1" si="24"/>
        <v>65</v>
      </c>
      <c r="P210" s="36">
        <f t="shared" ca="1" si="23"/>
        <v>-1384.5333333333328</v>
      </c>
      <c r="Q210" s="36">
        <f t="shared" ca="1" si="22"/>
        <v>1</v>
      </c>
      <c r="R210" s="50" t="s">
        <v>2663</v>
      </c>
    </row>
    <row r="211" spans="2:18" s="5" customFormat="1" ht="53.25" customHeight="1" x14ac:dyDescent="0.25">
      <c r="B211" s="27">
        <v>43349</v>
      </c>
      <c r="C211" s="24" t="s">
        <v>2351</v>
      </c>
      <c r="D211" s="26" t="s">
        <v>3319</v>
      </c>
      <c r="E211" s="26" t="s">
        <v>3323</v>
      </c>
      <c r="F211" s="26" t="s">
        <v>3321</v>
      </c>
      <c r="G211" s="26" t="s">
        <v>3324</v>
      </c>
      <c r="H211" s="25" t="s">
        <v>3197</v>
      </c>
      <c r="I211" s="26" t="s">
        <v>19</v>
      </c>
      <c r="J211" s="46">
        <v>16614.400000000001</v>
      </c>
      <c r="K211" s="46">
        <v>49.7318</v>
      </c>
      <c r="L211" s="47">
        <f t="shared" si="25"/>
        <v>334.08000514761181</v>
      </c>
      <c r="M211" s="26">
        <v>60</v>
      </c>
      <c r="N211" s="37">
        <f t="shared" si="26"/>
        <v>276.90666666666669</v>
      </c>
      <c r="O211" s="38">
        <f t="shared" ca="1" si="24"/>
        <v>65</v>
      </c>
      <c r="P211" s="36">
        <f t="shared" ca="1" si="23"/>
        <v>-1384.5333333333328</v>
      </c>
      <c r="Q211" s="36">
        <f t="shared" ca="1" si="22"/>
        <v>1</v>
      </c>
      <c r="R211" s="50" t="s">
        <v>2663</v>
      </c>
    </row>
    <row r="212" spans="2:18" s="5" customFormat="1" ht="39.75" customHeight="1" x14ac:dyDescent="0.25">
      <c r="B212" s="27">
        <v>43354</v>
      </c>
      <c r="C212" s="24" t="s">
        <v>2351</v>
      </c>
      <c r="D212" s="26" t="s">
        <v>3310</v>
      </c>
      <c r="E212" s="26" t="s">
        <v>3325</v>
      </c>
      <c r="F212" s="26" t="s">
        <v>3312</v>
      </c>
      <c r="G212" s="26" t="s">
        <v>28</v>
      </c>
      <c r="H212" s="26" t="s">
        <v>4428</v>
      </c>
      <c r="I212" s="26" t="s">
        <v>19</v>
      </c>
      <c r="J212" s="46">
        <v>4574.62</v>
      </c>
      <c r="K212" s="46">
        <v>49.731999999999999</v>
      </c>
      <c r="L212" s="47">
        <f t="shared" si="25"/>
        <v>91.985441968953594</v>
      </c>
      <c r="M212" s="26">
        <v>60</v>
      </c>
      <c r="N212" s="37">
        <f t="shared" si="26"/>
        <v>76.24366666666667</v>
      </c>
      <c r="O212" s="38">
        <f t="shared" ca="1" si="24"/>
        <v>65</v>
      </c>
      <c r="P212" s="36">
        <f t="shared" ca="1" si="23"/>
        <v>-381.21833333333325</v>
      </c>
      <c r="Q212" s="36">
        <f t="shared" ca="1" si="22"/>
        <v>1</v>
      </c>
      <c r="R212" s="50" t="s">
        <v>3314</v>
      </c>
    </row>
    <row r="213" spans="2:18" s="5" customFormat="1" ht="63.75" x14ac:dyDescent="0.25">
      <c r="B213" s="27">
        <v>43376</v>
      </c>
      <c r="C213" s="24" t="s">
        <v>2351</v>
      </c>
      <c r="D213" s="26" t="s">
        <v>3326</v>
      </c>
      <c r="E213" s="26" t="s">
        <v>3327</v>
      </c>
      <c r="F213" s="26" t="s">
        <v>3328</v>
      </c>
      <c r="G213" s="26" t="s">
        <v>3329</v>
      </c>
      <c r="H213" s="26" t="s">
        <v>3330</v>
      </c>
      <c r="I213" s="26" t="s">
        <v>19</v>
      </c>
      <c r="J213" s="46">
        <v>144872.54</v>
      </c>
      <c r="K213" s="46">
        <v>49.792299999999997</v>
      </c>
      <c r="L213" s="47">
        <f t="shared" ref="L213:L235" si="27">+J213/K213</f>
        <v>2909.5370167676533</v>
      </c>
      <c r="M213" s="26">
        <v>60</v>
      </c>
      <c r="N213" s="37">
        <f t="shared" ref="N213:N260" si="28">IF(AND(J213&lt;&gt;0,M213&lt;&gt;0),J213/M213,0)</f>
        <v>2414.5423333333333</v>
      </c>
      <c r="O213" s="38">
        <f t="shared" ca="1" si="24"/>
        <v>64</v>
      </c>
      <c r="P213" s="36">
        <f t="shared" ca="1" si="23"/>
        <v>-9658.1693333333242</v>
      </c>
      <c r="Q213" s="36">
        <f t="shared" ca="1" si="22"/>
        <v>1</v>
      </c>
      <c r="R213" s="50" t="s">
        <v>3331</v>
      </c>
    </row>
    <row r="214" spans="2:18" s="5" customFormat="1" ht="46.9" customHeight="1" x14ac:dyDescent="0.25">
      <c r="B214" s="27">
        <v>43381</v>
      </c>
      <c r="C214" s="24" t="s">
        <v>2351</v>
      </c>
      <c r="D214" s="26" t="s">
        <v>2943</v>
      </c>
      <c r="E214" s="26" t="s">
        <v>3332</v>
      </c>
      <c r="F214" s="26" t="s">
        <v>3333</v>
      </c>
      <c r="G214" s="26" t="s">
        <v>3334</v>
      </c>
      <c r="H214" s="26" t="s">
        <v>3254</v>
      </c>
      <c r="I214" s="26" t="s">
        <v>19</v>
      </c>
      <c r="J214" s="46">
        <v>11339.8</v>
      </c>
      <c r="K214" s="46">
        <v>49.806600000000003</v>
      </c>
      <c r="L214" s="47">
        <f t="shared" si="27"/>
        <v>227.67665329494483</v>
      </c>
      <c r="M214" s="26">
        <v>60</v>
      </c>
      <c r="N214" s="37">
        <f t="shared" si="28"/>
        <v>188.99666666666664</v>
      </c>
      <c r="O214" s="38">
        <f t="shared" ca="1" si="24"/>
        <v>64</v>
      </c>
      <c r="P214" s="36">
        <f t="shared" ca="1" si="23"/>
        <v>-755.98666666666577</v>
      </c>
      <c r="Q214" s="36">
        <f t="shared" ca="1" si="22"/>
        <v>1</v>
      </c>
      <c r="R214" s="50" t="s">
        <v>2663</v>
      </c>
    </row>
    <row r="215" spans="2:18" s="5" customFormat="1" ht="63.75" x14ac:dyDescent="0.25">
      <c r="B215" s="27">
        <v>43381</v>
      </c>
      <c r="C215" s="24" t="s">
        <v>2351</v>
      </c>
      <c r="D215" s="26" t="s">
        <v>2943</v>
      </c>
      <c r="E215" s="26" t="s">
        <v>3336</v>
      </c>
      <c r="F215" s="26" t="s">
        <v>3337</v>
      </c>
      <c r="G215" s="26" t="s">
        <v>3338</v>
      </c>
      <c r="H215" s="26" t="s">
        <v>34</v>
      </c>
      <c r="I215" s="26" t="s">
        <v>19</v>
      </c>
      <c r="J215" s="46">
        <f>67392.16/4</f>
        <v>16848.04</v>
      </c>
      <c r="K215" s="46">
        <v>49.806600000000003</v>
      </c>
      <c r="L215" s="47">
        <f t="shared" si="27"/>
        <v>338.26922536370682</v>
      </c>
      <c r="M215" s="26">
        <v>60</v>
      </c>
      <c r="N215" s="37">
        <f t="shared" si="28"/>
        <v>280.8006666666667</v>
      </c>
      <c r="O215" s="38">
        <f t="shared" ca="1" si="24"/>
        <v>64</v>
      </c>
      <c r="P215" s="36">
        <f t="shared" ca="1" si="23"/>
        <v>-1123.2026666666679</v>
      </c>
      <c r="Q215" s="36">
        <f t="shared" ca="1" si="22"/>
        <v>1</v>
      </c>
      <c r="R215" s="50" t="s">
        <v>2663</v>
      </c>
    </row>
    <row r="216" spans="2:18" s="5" customFormat="1" ht="63.75" x14ac:dyDescent="0.25">
      <c r="B216" s="27">
        <v>43381</v>
      </c>
      <c r="C216" s="24" t="s">
        <v>2351</v>
      </c>
      <c r="D216" s="26" t="s">
        <v>2943</v>
      </c>
      <c r="E216" s="26" t="s">
        <v>3339</v>
      </c>
      <c r="F216" s="26" t="s">
        <v>3337</v>
      </c>
      <c r="G216" s="26" t="s">
        <v>3338</v>
      </c>
      <c r="H216" s="26" t="s">
        <v>765</v>
      </c>
      <c r="I216" s="26" t="s">
        <v>19</v>
      </c>
      <c r="J216" s="46">
        <f>67392.16/4</f>
        <v>16848.04</v>
      </c>
      <c r="K216" s="46">
        <v>49.806600000000003</v>
      </c>
      <c r="L216" s="47">
        <f t="shared" si="27"/>
        <v>338.26922536370682</v>
      </c>
      <c r="M216" s="26">
        <v>60</v>
      </c>
      <c r="N216" s="37">
        <f t="shared" si="28"/>
        <v>280.8006666666667</v>
      </c>
      <c r="O216" s="38">
        <f t="shared" ca="1" si="24"/>
        <v>64</v>
      </c>
      <c r="P216" s="36">
        <f t="shared" ca="1" si="23"/>
        <v>-1123.2026666666679</v>
      </c>
      <c r="Q216" s="36">
        <f t="shared" ca="1" si="22"/>
        <v>1</v>
      </c>
      <c r="R216" s="50" t="s">
        <v>2663</v>
      </c>
    </row>
    <row r="217" spans="2:18" s="5" customFormat="1" ht="52.5" customHeight="1" x14ac:dyDescent="0.25">
      <c r="B217" s="27">
        <v>43381</v>
      </c>
      <c r="C217" s="24" t="s">
        <v>2351</v>
      </c>
      <c r="D217" s="26" t="s">
        <v>2943</v>
      </c>
      <c r="E217" s="26" t="s">
        <v>3340</v>
      </c>
      <c r="F217" s="26" t="s">
        <v>3337</v>
      </c>
      <c r="G217" s="26" t="s">
        <v>3338</v>
      </c>
      <c r="H217" s="26" t="s">
        <v>3330</v>
      </c>
      <c r="I217" s="26" t="s">
        <v>19</v>
      </c>
      <c r="J217" s="46">
        <f>67392.16/4</f>
        <v>16848.04</v>
      </c>
      <c r="K217" s="46">
        <v>49.806600000000003</v>
      </c>
      <c r="L217" s="47">
        <f t="shared" si="27"/>
        <v>338.26922536370682</v>
      </c>
      <c r="M217" s="26">
        <v>60</v>
      </c>
      <c r="N217" s="37">
        <f t="shared" si="28"/>
        <v>280.8006666666667</v>
      </c>
      <c r="O217" s="38">
        <f t="shared" ca="1" si="24"/>
        <v>64</v>
      </c>
      <c r="P217" s="36">
        <f t="shared" ca="1" si="23"/>
        <v>-1123.2026666666679</v>
      </c>
      <c r="Q217" s="36">
        <f t="shared" ca="1" si="22"/>
        <v>1</v>
      </c>
      <c r="R217" s="50" t="s">
        <v>2663</v>
      </c>
    </row>
    <row r="218" spans="2:18" s="5" customFormat="1" ht="48.75" customHeight="1" x14ac:dyDescent="0.25">
      <c r="B218" s="27">
        <v>43381</v>
      </c>
      <c r="C218" s="24" t="s">
        <v>2351</v>
      </c>
      <c r="D218" s="26" t="s">
        <v>2943</v>
      </c>
      <c r="E218" s="26" t="s">
        <v>3341</v>
      </c>
      <c r="F218" s="26" t="s">
        <v>3337</v>
      </c>
      <c r="G218" s="26" t="s">
        <v>3342</v>
      </c>
      <c r="H218" s="26" t="s">
        <v>3330</v>
      </c>
      <c r="I218" s="26" t="s">
        <v>19</v>
      </c>
      <c r="J218" s="46">
        <f>67392.16/4</f>
        <v>16848.04</v>
      </c>
      <c r="K218" s="46">
        <v>49.806600000000003</v>
      </c>
      <c r="L218" s="47">
        <f t="shared" si="27"/>
        <v>338.26922536370682</v>
      </c>
      <c r="M218" s="26">
        <v>60</v>
      </c>
      <c r="N218" s="37">
        <f t="shared" si="28"/>
        <v>280.8006666666667</v>
      </c>
      <c r="O218" s="38">
        <f t="shared" ca="1" si="24"/>
        <v>64</v>
      </c>
      <c r="P218" s="36">
        <f t="shared" ca="1" si="23"/>
        <v>-1123.2026666666679</v>
      </c>
      <c r="Q218" s="36">
        <f t="shared" ca="1" si="22"/>
        <v>1</v>
      </c>
      <c r="R218" s="50" t="s">
        <v>2663</v>
      </c>
    </row>
    <row r="219" spans="2:18" s="5" customFormat="1" ht="51" customHeight="1" x14ac:dyDescent="0.25">
      <c r="B219" s="27">
        <v>43381</v>
      </c>
      <c r="C219" s="24" t="s">
        <v>2351</v>
      </c>
      <c r="D219" s="26" t="s">
        <v>2943</v>
      </c>
      <c r="E219" s="26" t="s">
        <v>3343</v>
      </c>
      <c r="F219" s="26" t="s">
        <v>3344</v>
      </c>
      <c r="G219" s="26" t="s">
        <v>3345</v>
      </c>
      <c r="H219" s="26" t="s">
        <v>34</v>
      </c>
      <c r="I219" s="26" t="s">
        <v>19</v>
      </c>
      <c r="J219" s="46">
        <v>21594</v>
      </c>
      <c r="K219" s="46">
        <v>49.806600000000003</v>
      </c>
      <c r="L219" s="47">
        <f t="shared" si="27"/>
        <v>433.55699847008225</v>
      </c>
      <c r="M219" s="26">
        <v>60</v>
      </c>
      <c r="N219" s="37">
        <f t="shared" si="28"/>
        <v>359.9</v>
      </c>
      <c r="O219" s="38">
        <f t="shared" ca="1" si="24"/>
        <v>64</v>
      </c>
      <c r="P219" s="36">
        <f t="shared" ca="1" si="23"/>
        <v>-1439.5999999999985</v>
      </c>
      <c r="Q219" s="36">
        <f t="shared" ca="1" si="22"/>
        <v>1</v>
      </c>
      <c r="R219" s="50" t="s">
        <v>2663</v>
      </c>
    </row>
    <row r="220" spans="2:18" s="5" customFormat="1" ht="51.75" customHeight="1" x14ac:dyDescent="0.25">
      <c r="B220" s="27">
        <v>43381</v>
      </c>
      <c r="C220" s="24" t="s">
        <v>2351</v>
      </c>
      <c r="D220" s="26" t="s">
        <v>2943</v>
      </c>
      <c r="E220" s="26" t="s">
        <v>3346</v>
      </c>
      <c r="F220" s="26" t="s">
        <v>3347</v>
      </c>
      <c r="G220" s="26" t="s">
        <v>3348</v>
      </c>
      <c r="H220" s="26" t="s">
        <v>844</v>
      </c>
      <c r="I220" s="26" t="s">
        <v>19</v>
      </c>
      <c r="J220" s="46">
        <f>18875.28/2</f>
        <v>9437.64</v>
      </c>
      <c r="K220" s="46">
        <v>49.806600000000003</v>
      </c>
      <c r="L220" s="47">
        <f t="shared" si="27"/>
        <v>189.48573080676053</v>
      </c>
      <c r="M220" s="26">
        <v>60</v>
      </c>
      <c r="N220" s="37">
        <f t="shared" si="28"/>
        <v>157.29399999999998</v>
      </c>
      <c r="O220" s="38">
        <f t="shared" ca="1" si="24"/>
        <v>64</v>
      </c>
      <c r="P220" s="36">
        <f t="shared" ca="1" si="23"/>
        <v>-629.17599999999948</v>
      </c>
      <c r="Q220" s="36">
        <f t="shared" ca="1" si="22"/>
        <v>1</v>
      </c>
      <c r="R220" s="50" t="s">
        <v>2663</v>
      </c>
    </row>
    <row r="221" spans="2:18" s="5" customFormat="1" ht="54" customHeight="1" x14ac:dyDescent="0.25">
      <c r="B221" s="27">
        <v>43381</v>
      </c>
      <c r="C221" s="24" t="s">
        <v>2351</v>
      </c>
      <c r="D221" s="26" t="s">
        <v>2943</v>
      </c>
      <c r="E221" s="26" t="s">
        <v>3349</v>
      </c>
      <c r="F221" s="26" t="s">
        <v>3347</v>
      </c>
      <c r="G221" s="26" t="s">
        <v>3348</v>
      </c>
      <c r="H221" s="26" t="s">
        <v>3350</v>
      </c>
      <c r="I221" s="26" t="s">
        <v>19</v>
      </c>
      <c r="J221" s="46">
        <f>18875.28/2</f>
        <v>9437.64</v>
      </c>
      <c r="K221" s="46">
        <v>49.806600000000003</v>
      </c>
      <c r="L221" s="47">
        <f t="shared" si="27"/>
        <v>189.48573080676053</v>
      </c>
      <c r="M221" s="26">
        <v>60</v>
      </c>
      <c r="N221" s="37">
        <f t="shared" si="28"/>
        <v>157.29399999999998</v>
      </c>
      <c r="O221" s="38">
        <f t="shared" ca="1" si="24"/>
        <v>64</v>
      </c>
      <c r="P221" s="36">
        <f t="shared" ca="1" si="23"/>
        <v>-629.17599999999948</v>
      </c>
      <c r="Q221" s="36">
        <f t="shared" ca="1" si="22"/>
        <v>1</v>
      </c>
      <c r="R221" s="50" t="s">
        <v>2663</v>
      </c>
    </row>
    <row r="222" spans="2:18" s="5" customFormat="1" ht="46.9" customHeight="1" x14ac:dyDescent="0.25">
      <c r="B222" s="27">
        <v>43392</v>
      </c>
      <c r="C222" s="24" t="s">
        <v>2351</v>
      </c>
      <c r="D222" s="26" t="s">
        <v>3310</v>
      </c>
      <c r="E222" s="26" t="s">
        <v>3351</v>
      </c>
      <c r="F222" s="26" t="s">
        <v>3352</v>
      </c>
      <c r="G222" s="26" t="s">
        <v>3353</v>
      </c>
      <c r="H222" s="26" t="s">
        <v>3330</v>
      </c>
      <c r="I222" s="26" t="s">
        <v>19</v>
      </c>
      <c r="J222" s="46">
        <v>25901</v>
      </c>
      <c r="K222" s="46">
        <v>49.945099999999996</v>
      </c>
      <c r="L222" s="47">
        <f t="shared" si="27"/>
        <v>518.58941117346853</v>
      </c>
      <c r="M222" s="26">
        <v>60</v>
      </c>
      <c r="N222" s="37">
        <f t="shared" si="28"/>
        <v>431.68333333333334</v>
      </c>
      <c r="O222" s="38">
        <f t="shared" ca="1" si="24"/>
        <v>64</v>
      </c>
      <c r="P222" s="36">
        <f t="shared" ca="1" si="23"/>
        <v>-1726.7333333333336</v>
      </c>
      <c r="Q222" s="36">
        <f t="shared" ca="1" si="22"/>
        <v>1</v>
      </c>
      <c r="R222" s="50" t="s">
        <v>3314</v>
      </c>
    </row>
    <row r="223" spans="2:18" s="5" customFormat="1" ht="39.75" customHeight="1" x14ac:dyDescent="0.25">
      <c r="B223" s="27">
        <v>43392</v>
      </c>
      <c r="C223" s="24" t="s">
        <v>2351</v>
      </c>
      <c r="D223" s="26" t="s">
        <v>3310</v>
      </c>
      <c r="E223" s="26" t="s">
        <v>3354</v>
      </c>
      <c r="F223" s="26" t="s">
        <v>3312</v>
      </c>
      <c r="G223" s="26" t="s">
        <v>28</v>
      </c>
      <c r="H223" s="26" t="s">
        <v>3355</v>
      </c>
      <c r="I223" s="26" t="s">
        <v>19</v>
      </c>
      <c r="J223" s="46">
        <v>4574.62</v>
      </c>
      <c r="K223" s="46">
        <v>49.945099999999996</v>
      </c>
      <c r="L223" s="47">
        <f t="shared" si="27"/>
        <v>91.592969080049897</v>
      </c>
      <c r="M223" s="26">
        <v>60</v>
      </c>
      <c r="N223" s="37">
        <f t="shared" si="28"/>
        <v>76.24366666666667</v>
      </c>
      <c r="O223" s="38">
        <f t="shared" ca="1" si="24"/>
        <v>64</v>
      </c>
      <c r="P223" s="36">
        <f t="shared" ca="1" si="23"/>
        <v>-304.97466666666696</v>
      </c>
      <c r="Q223" s="36">
        <f t="shared" ca="1" si="22"/>
        <v>1</v>
      </c>
      <c r="R223" s="50" t="s">
        <v>3314</v>
      </c>
    </row>
    <row r="224" spans="2:18" s="5" customFormat="1" ht="38.25" customHeight="1" x14ac:dyDescent="0.25">
      <c r="B224" s="27">
        <v>43392</v>
      </c>
      <c r="C224" s="24" t="s">
        <v>2351</v>
      </c>
      <c r="D224" s="26" t="s">
        <v>3310</v>
      </c>
      <c r="E224" s="26" t="s">
        <v>3356</v>
      </c>
      <c r="F224" s="26" t="s">
        <v>3312</v>
      </c>
      <c r="G224" s="26" t="s">
        <v>28</v>
      </c>
      <c r="H224" s="26" t="s">
        <v>3357</v>
      </c>
      <c r="I224" s="26" t="s">
        <v>19</v>
      </c>
      <c r="J224" s="46">
        <v>4574.62</v>
      </c>
      <c r="K224" s="46">
        <v>49.945099999999996</v>
      </c>
      <c r="L224" s="47">
        <f t="shared" si="27"/>
        <v>91.592969080049897</v>
      </c>
      <c r="M224" s="26">
        <v>60</v>
      </c>
      <c r="N224" s="37">
        <f t="shared" si="28"/>
        <v>76.24366666666667</v>
      </c>
      <c r="O224" s="38">
        <f t="shared" ca="1" si="24"/>
        <v>64</v>
      </c>
      <c r="P224" s="36">
        <f t="shared" ca="1" si="23"/>
        <v>-304.97466666666696</v>
      </c>
      <c r="Q224" s="36">
        <f t="shared" ca="1" si="22"/>
        <v>1</v>
      </c>
      <c r="R224" s="50" t="s">
        <v>3314</v>
      </c>
    </row>
    <row r="225" spans="2:18" s="5" customFormat="1" ht="38.25" customHeight="1" x14ac:dyDescent="0.25">
      <c r="B225" s="27">
        <v>43392</v>
      </c>
      <c r="C225" s="24" t="s">
        <v>2351</v>
      </c>
      <c r="D225" s="26" t="s">
        <v>3310</v>
      </c>
      <c r="E225" s="26" t="s">
        <v>3358</v>
      </c>
      <c r="F225" s="26" t="s">
        <v>3312</v>
      </c>
      <c r="G225" s="26" t="s">
        <v>28</v>
      </c>
      <c r="H225" s="26" t="s">
        <v>3359</v>
      </c>
      <c r="I225" s="26" t="s">
        <v>19</v>
      </c>
      <c r="J225" s="46">
        <v>4574.62</v>
      </c>
      <c r="K225" s="46">
        <v>49.945099999999996</v>
      </c>
      <c r="L225" s="47">
        <f t="shared" si="27"/>
        <v>91.592969080049897</v>
      </c>
      <c r="M225" s="26">
        <v>60</v>
      </c>
      <c r="N225" s="37">
        <f t="shared" si="28"/>
        <v>76.24366666666667</v>
      </c>
      <c r="O225" s="38">
        <f t="shared" ca="1" si="24"/>
        <v>64</v>
      </c>
      <c r="P225" s="36">
        <f t="shared" ca="1" si="23"/>
        <v>-304.97466666666696</v>
      </c>
      <c r="Q225" s="36">
        <f t="shared" ca="1" si="22"/>
        <v>1</v>
      </c>
      <c r="R225" s="50" t="s">
        <v>3314</v>
      </c>
    </row>
    <row r="226" spans="2:18" s="5" customFormat="1" ht="39" customHeight="1" x14ac:dyDescent="0.25">
      <c r="B226" s="27">
        <v>43392</v>
      </c>
      <c r="C226" s="24" t="s">
        <v>2351</v>
      </c>
      <c r="D226" s="26" t="s">
        <v>3310</v>
      </c>
      <c r="E226" s="26" t="s">
        <v>3360</v>
      </c>
      <c r="F226" s="26" t="s">
        <v>3312</v>
      </c>
      <c r="G226" s="26" t="s">
        <v>28</v>
      </c>
      <c r="H226" s="26" t="s">
        <v>3361</v>
      </c>
      <c r="I226" s="26" t="s">
        <v>19</v>
      </c>
      <c r="J226" s="46">
        <v>4574.62</v>
      </c>
      <c r="K226" s="46">
        <v>49.945099999999996</v>
      </c>
      <c r="L226" s="47">
        <f t="shared" si="27"/>
        <v>91.592969080049897</v>
      </c>
      <c r="M226" s="26">
        <v>60</v>
      </c>
      <c r="N226" s="37">
        <f t="shared" si="28"/>
        <v>76.24366666666667</v>
      </c>
      <c r="O226" s="38">
        <f t="shared" ca="1" si="24"/>
        <v>64</v>
      </c>
      <c r="P226" s="36">
        <f t="shared" ca="1" si="23"/>
        <v>-304.97466666666696</v>
      </c>
      <c r="Q226" s="36">
        <f t="shared" ca="1" si="22"/>
        <v>1</v>
      </c>
      <c r="R226" s="50" t="s">
        <v>3314</v>
      </c>
    </row>
    <row r="227" spans="2:18" s="5" customFormat="1" ht="46.9" customHeight="1" x14ac:dyDescent="0.25">
      <c r="B227" s="27">
        <v>43392</v>
      </c>
      <c r="C227" s="24" t="s">
        <v>2351</v>
      </c>
      <c r="D227" s="26" t="s">
        <v>3310</v>
      </c>
      <c r="E227" s="26" t="s">
        <v>3362</v>
      </c>
      <c r="F227" s="26" t="s">
        <v>3312</v>
      </c>
      <c r="G227" s="26" t="s">
        <v>28</v>
      </c>
      <c r="H227" s="26" t="s">
        <v>3363</v>
      </c>
      <c r="I227" s="26" t="s">
        <v>19</v>
      </c>
      <c r="J227" s="46">
        <v>4574.62</v>
      </c>
      <c r="K227" s="46">
        <v>49.945099999999996</v>
      </c>
      <c r="L227" s="47">
        <f t="shared" si="27"/>
        <v>91.592969080049897</v>
      </c>
      <c r="M227" s="26">
        <v>60</v>
      </c>
      <c r="N227" s="37">
        <f t="shared" si="28"/>
        <v>76.24366666666667</v>
      </c>
      <c r="O227" s="38">
        <f t="shared" ca="1" si="24"/>
        <v>64</v>
      </c>
      <c r="P227" s="36">
        <f t="shared" ca="1" si="23"/>
        <v>-304.97466666666696</v>
      </c>
      <c r="Q227" s="36">
        <f t="shared" ca="1" si="22"/>
        <v>1</v>
      </c>
      <c r="R227" s="50" t="s">
        <v>3314</v>
      </c>
    </row>
    <row r="228" spans="2:18" s="5" customFormat="1" ht="46.9" customHeight="1" x14ac:dyDescent="0.25">
      <c r="B228" s="27">
        <v>43392</v>
      </c>
      <c r="C228" s="24" t="s">
        <v>2351</v>
      </c>
      <c r="D228" s="26" t="s">
        <v>3310</v>
      </c>
      <c r="E228" s="26" t="s">
        <v>3364</v>
      </c>
      <c r="F228" s="26" t="s">
        <v>3312</v>
      </c>
      <c r="G228" s="26" t="s">
        <v>28</v>
      </c>
      <c r="H228" s="26" t="s">
        <v>3365</v>
      </c>
      <c r="I228" s="26" t="s">
        <v>19</v>
      </c>
      <c r="J228" s="46">
        <v>4574.62</v>
      </c>
      <c r="K228" s="46">
        <v>49.945099999999996</v>
      </c>
      <c r="L228" s="47">
        <f t="shared" si="27"/>
        <v>91.592969080049897</v>
      </c>
      <c r="M228" s="26">
        <v>60</v>
      </c>
      <c r="N228" s="37">
        <f t="shared" si="28"/>
        <v>76.24366666666667</v>
      </c>
      <c r="O228" s="38">
        <f t="shared" ca="1" si="24"/>
        <v>64</v>
      </c>
      <c r="P228" s="36">
        <f t="shared" ca="1" si="23"/>
        <v>-304.97466666666696</v>
      </c>
      <c r="Q228" s="36">
        <f t="shared" ca="1" si="22"/>
        <v>1</v>
      </c>
      <c r="R228" s="50" t="s">
        <v>3314</v>
      </c>
    </row>
    <row r="229" spans="2:18" s="5" customFormat="1" ht="37.5" customHeight="1" x14ac:dyDescent="0.25">
      <c r="B229" s="27">
        <v>43392</v>
      </c>
      <c r="C229" s="24" t="s">
        <v>2351</v>
      </c>
      <c r="D229" s="26" t="s">
        <v>3310</v>
      </c>
      <c r="E229" s="26" t="s">
        <v>3366</v>
      </c>
      <c r="F229" s="26" t="s">
        <v>3312</v>
      </c>
      <c r="G229" s="26" t="s">
        <v>28</v>
      </c>
      <c r="H229" s="26" t="s">
        <v>4426</v>
      </c>
      <c r="I229" s="26" t="s">
        <v>19</v>
      </c>
      <c r="J229" s="46">
        <v>4574.62</v>
      </c>
      <c r="K229" s="46">
        <v>49.945099999999996</v>
      </c>
      <c r="L229" s="47">
        <f t="shared" si="27"/>
        <v>91.592969080049897</v>
      </c>
      <c r="M229" s="26">
        <v>60</v>
      </c>
      <c r="N229" s="37">
        <f t="shared" si="28"/>
        <v>76.24366666666667</v>
      </c>
      <c r="O229" s="38">
        <f t="shared" ca="1" si="24"/>
        <v>64</v>
      </c>
      <c r="P229" s="36">
        <f t="shared" ca="1" si="23"/>
        <v>-304.97466666666696</v>
      </c>
      <c r="Q229" s="36">
        <f t="shared" ca="1" si="22"/>
        <v>1</v>
      </c>
      <c r="R229" s="50" t="s">
        <v>3314</v>
      </c>
    </row>
    <row r="230" spans="2:18" s="5" customFormat="1" ht="37.5" customHeight="1" x14ac:dyDescent="0.25">
      <c r="B230" s="27">
        <v>43392</v>
      </c>
      <c r="C230" s="24" t="s">
        <v>2351</v>
      </c>
      <c r="D230" s="26" t="s">
        <v>3310</v>
      </c>
      <c r="E230" s="26" t="s">
        <v>3367</v>
      </c>
      <c r="F230" s="26" t="s">
        <v>3312</v>
      </c>
      <c r="G230" s="26" t="s">
        <v>28</v>
      </c>
      <c r="H230" s="26" t="s">
        <v>2936</v>
      </c>
      <c r="I230" s="26" t="s">
        <v>19</v>
      </c>
      <c r="J230" s="46">
        <v>4574.62</v>
      </c>
      <c r="K230" s="46">
        <v>49.945099999999996</v>
      </c>
      <c r="L230" s="47">
        <f t="shared" si="27"/>
        <v>91.592969080049897</v>
      </c>
      <c r="M230" s="26">
        <v>60</v>
      </c>
      <c r="N230" s="37">
        <f t="shared" si="28"/>
        <v>76.24366666666667</v>
      </c>
      <c r="O230" s="38">
        <f t="shared" ca="1" si="24"/>
        <v>64</v>
      </c>
      <c r="P230" s="36">
        <f t="shared" ca="1" si="23"/>
        <v>-304.97466666666696</v>
      </c>
      <c r="Q230" s="36">
        <f t="shared" ca="1" si="22"/>
        <v>1</v>
      </c>
      <c r="R230" s="50" t="s">
        <v>3314</v>
      </c>
    </row>
    <row r="231" spans="2:18" s="5" customFormat="1" ht="36" customHeight="1" x14ac:dyDescent="0.25">
      <c r="B231" s="27">
        <v>43392</v>
      </c>
      <c r="C231" s="24" t="s">
        <v>2351</v>
      </c>
      <c r="D231" s="26" t="s">
        <v>3310</v>
      </c>
      <c r="E231" s="26" t="s">
        <v>3368</v>
      </c>
      <c r="F231" s="26" t="s">
        <v>3312</v>
      </c>
      <c r="G231" s="26" t="s">
        <v>28</v>
      </c>
      <c r="H231" s="26" t="s">
        <v>3369</v>
      </c>
      <c r="I231" s="26" t="s">
        <v>19</v>
      </c>
      <c r="J231" s="46">
        <v>4574.62</v>
      </c>
      <c r="K231" s="46">
        <v>49.945099999999996</v>
      </c>
      <c r="L231" s="47">
        <f t="shared" si="27"/>
        <v>91.592969080049897</v>
      </c>
      <c r="M231" s="26">
        <v>60</v>
      </c>
      <c r="N231" s="37">
        <f t="shared" si="28"/>
        <v>76.24366666666667</v>
      </c>
      <c r="O231" s="38">
        <f t="shared" ca="1" si="24"/>
        <v>64</v>
      </c>
      <c r="P231" s="36">
        <f t="shared" ca="1" si="23"/>
        <v>-304.97466666666696</v>
      </c>
      <c r="Q231" s="36">
        <f t="shared" ca="1" si="22"/>
        <v>1</v>
      </c>
      <c r="R231" s="50" t="s">
        <v>3314</v>
      </c>
    </row>
    <row r="232" spans="2:18" s="5" customFormat="1" ht="36.75" customHeight="1" x14ac:dyDescent="0.25">
      <c r="B232" s="27">
        <v>43392</v>
      </c>
      <c r="C232" s="24" t="s">
        <v>2351</v>
      </c>
      <c r="D232" s="26" t="s">
        <v>3310</v>
      </c>
      <c r="E232" s="26" t="s">
        <v>3370</v>
      </c>
      <c r="F232" s="26" t="s">
        <v>3312</v>
      </c>
      <c r="G232" s="26" t="s">
        <v>28</v>
      </c>
      <c r="H232" s="26" t="s">
        <v>3371</v>
      </c>
      <c r="I232" s="26" t="s">
        <v>19</v>
      </c>
      <c r="J232" s="46">
        <v>4574.62</v>
      </c>
      <c r="K232" s="46">
        <v>49.945099999999996</v>
      </c>
      <c r="L232" s="47">
        <f t="shared" si="27"/>
        <v>91.592969080049897</v>
      </c>
      <c r="M232" s="26">
        <v>60</v>
      </c>
      <c r="N232" s="37">
        <f t="shared" si="28"/>
        <v>76.24366666666667</v>
      </c>
      <c r="O232" s="38">
        <f t="shared" ca="1" si="24"/>
        <v>64</v>
      </c>
      <c r="P232" s="36">
        <f t="shared" ca="1" si="23"/>
        <v>-304.97466666666696</v>
      </c>
      <c r="Q232" s="36">
        <f t="shared" ca="1" si="22"/>
        <v>1</v>
      </c>
      <c r="R232" s="50" t="s">
        <v>3314</v>
      </c>
    </row>
    <row r="233" spans="2:18" s="5" customFormat="1" ht="47.25" customHeight="1" x14ac:dyDescent="0.25">
      <c r="B233" s="27">
        <v>43392</v>
      </c>
      <c r="C233" s="24" t="s">
        <v>2351</v>
      </c>
      <c r="D233" s="26" t="s">
        <v>3310</v>
      </c>
      <c r="E233" s="26" t="s">
        <v>3372</v>
      </c>
      <c r="F233" s="26" t="s">
        <v>3312</v>
      </c>
      <c r="G233" s="26" t="s">
        <v>28</v>
      </c>
      <c r="H233" s="26" t="s">
        <v>3330</v>
      </c>
      <c r="I233" s="26" t="s">
        <v>19</v>
      </c>
      <c r="J233" s="46">
        <v>4574.62</v>
      </c>
      <c r="K233" s="46">
        <v>49.945099999999996</v>
      </c>
      <c r="L233" s="47">
        <f t="shared" si="27"/>
        <v>91.592969080049897</v>
      </c>
      <c r="M233" s="26">
        <v>60</v>
      </c>
      <c r="N233" s="37">
        <f t="shared" si="28"/>
        <v>76.24366666666667</v>
      </c>
      <c r="O233" s="38">
        <f t="shared" ca="1" si="24"/>
        <v>64</v>
      </c>
      <c r="P233" s="36">
        <f t="shared" ca="1" si="23"/>
        <v>-304.97466666666696</v>
      </c>
      <c r="Q233" s="36">
        <f t="shared" ca="1" si="22"/>
        <v>1</v>
      </c>
      <c r="R233" s="50" t="s">
        <v>3314</v>
      </c>
    </row>
    <row r="234" spans="2:18" s="5" customFormat="1" ht="45" customHeight="1" x14ac:dyDescent="0.25">
      <c r="B234" s="28">
        <v>43392</v>
      </c>
      <c r="C234" s="24" t="s">
        <v>2351</v>
      </c>
      <c r="D234" s="29" t="s">
        <v>3310</v>
      </c>
      <c r="E234" s="29" t="s">
        <v>3373</v>
      </c>
      <c r="F234" s="29" t="s">
        <v>3312</v>
      </c>
      <c r="G234" s="29" t="s">
        <v>28</v>
      </c>
      <c r="H234" s="29" t="s">
        <v>3330</v>
      </c>
      <c r="I234" s="29" t="s">
        <v>19</v>
      </c>
      <c r="J234" s="48">
        <v>4574.68</v>
      </c>
      <c r="K234" s="48">
        <v>49.945099999999996</v>
      </c>
      <c r="L234" s="49">
        <f t="shared" si="27"/>
        <v>91.594170399098218</v>
      </c>
      <c r="M234" s="29">
        <v>60</v>
      </c>
      <c r="N234" s="41">
        <f t="shared" si="28"/>
        <v>76.244666666666674</v>
      </c>
      <c r="O234" s="42">
        <f t="shared" ca="1" si="24"/>
        <v>64</v>
      </c>
      <c r="P234" s="36">
        <f t="shared" ca="1" si="23"/>
        <v>-304.97866666666687</v>
      </c>
      <c r="Q234" s="36">
        <f t="shared" ca="1" si="22"/>
        <v>1</v>
      </c>
      <c r="R234" s="635" t="s">
        <v>3314</v>
      </c>
    </row>
    <row r="235" spans="2:18" s="5" customFormat="1" ht="63" customHeight="1" x14ac:dyDescent="0.25">
      <c r="B235" s="27">
        <v>43392</v>
      </c>
      <c r="C235" s="24" t="s">
        <v>2351</v>
      </c>
      <c r="D235" s="26" t="s">
        <v>3310</v>
      </c>
      <c r="E235" s="26" t="s">
        <v>3374</v>
      </c>
      <c r="F235" s="26" t="s">
        <v>3375</v>
      </c>
      <c r="G235" s="26" t="s">
        <v>28</v>
      </c>
      <c r="H235" s="26" t="s">
        <v>3330</v>
      </c>
      <c r="I235" s="26" t="s">
        <v>19</v>
      </c>
      <c r="J235" s="46">
        <v>3560.43</v>
      </c>
      <c r="K235" s="46">
        <v>49.945099999999996</v>
      </c>
      <c r="L235" s="47">
        <f t="shared" si="27"/>
        <v>71.286872986539223</v>
      </c>
      <c r="M235" s="26">
        <v>60</v>
      </c>
      <c r="N235" s="37">
        <f t="shared" si="28"/>
        <v>59.340499999999999</v>
      </c>
      <c r="O235" s="38">
        <f t="shared" ca="1" si="24"/>
        <v>64</v>
      </c>
      <c r="P235" s="36">
        <f t="shared" ca="1" si="23"/>
        <v>-237.36200000000008</v>
      </c>
      <c r="Q235" s="36">
        <f t="shared" ca="1" si="22"/>
        <v>1</v>
      </c>
      <c r="R235" s="50" t="s">
        <v>3314</v>
      </c>
    </row>
    <row r="236" spans="2:18" s="5" customFormat="1" ht="44.25" customHeight="1" x14ac:dyDescent="0.25">
      <c r="B236" s="27">
        <v>43392</v>
      </c>
      <c r="C236" s="24" t="s">
        <v>2351</v>
      </c>
      <c r="D236" s="26" t="s">
        <v>3310</v>
      </c>
      <c r="E236" s="26" t="s">
        <v>3378</v>
      </c>
      <c r="F236" s="26" t="s">
        <v>3335</v>
      </c>
      <c r="G236" s="26" t="s">
        <v>3376</v>
      </c>
      <c r="H236" s="26" t="s">
        <v>4427</v>
      </c>
      <c r="I236" s="26" t="s">
        <v>19</v>
      </c>
      <c r="J236" s="46">
        <f t="shared" ref="J236:J244" si="29">161424/18</f>
        <v>8968</v>
      </c>
      <c r="K236" s="46">
        <v>49.945099999999996</v>
      </c>
      <c r="L236" s="47">
        <f t="shared" ref="L236:L246" si="30">+J236/K236</f>
        <v>179.55715375482282</v>
      </c>
      <c r="M236" s="26">
        <v>60</v>
      </c>
      <c r="N236" s="37">
        <f t="shared" si="28"/>
        <v>149.46666666666667</v>
      </c>
      <c r="O236" s="38">
        <f t="shared" ca="1" si="24"/>
        <v>64</v>
      </c>
      <c r="P236" s="36">
        <f t="shared" ca="1" si="23"/>
        <v>-597.86666666666679</v>
      </c>
      <c r="Q236" s="36">
        <f t="shared" ref="Q236:Q285" ca="1" si="31">IF(P236&lt;1,1,P236)</f>
        <v>1</v>
      </c>
      <c r="R236" s="50" t="s">
        <v>3314</v>
      </c>
    </row>
    <row r="237" spans="2:18" s="5" customFormat="1" ht="46.9" customHeight="1" x14ac:dyDescent="0.25">
      <c r="B237" s="27">
        <v>43392</v>
      </c>
      <c r="C237" s="24" t="s">
        <v>2351</v>
      </c>
      <c r="D237" s="26" t="s">
        <v>3310</v>
      </c>
      <c r="E237" s="26" t="s">
        <v>3379</v>
      </c>
      <c r="F237" s="26" t="s">
        <v>3335</v>
      </c>
      <c r="G237" s="26" t="s">
        <v>3376</v>
      </c>
      <c r="H237" s="26" t="s">
        <v>3380</v>
      </c>
      <c r="I237" s="26" t="s">
        <v>19</v>
      </c>
      <c r="J237" s="46">
        <f t="shared" si="29"/>
        <v>8968</v>
      </c>
      <c r="K237" s="46">
        <v>49.945099999999996</v>
      </c>
      <c r="L237" s="47">
        <f t="shared" si="30"/>
        <v>179.55715375482282</v>
      </c>
      <c r="M237" s="26">
        <v>60</v>
      </c>
      <c r="N237" s="37">
        <f t="shared" si="28"/>
        <v>149.46666666666667</v>
      </c>
      <c r="O237" s="38">
        <f t="shared" ca="1" si="24"/>
        <v>64</v>
      </c>
      <c r="P237" s="36">
        <f t="shared" ca="1" si="23"/>
        <v>-597.86666666666679</v>
      </c>
      <c r="Q237" s="36">
        <f t="shared" ca="1" si="31"/>
        <v>1</v>
      </c>
      <c r="R237" s="50" t="s">
        <v>3314</v>
      </c>
    </row>
    <row r="238" spans="2:18" s="5" customFormat="1" ht="40.5" customHeight="1" x14ac:dyDescent="0.25">
      <c r="B238" s="27">
        <v>43392</v>
      </c>
      <c r="C238" s="24" t="s">
        <v>2351</v>
      </c>
      <c r="D238" s="26" t="s">
        <v>3310</v>
      </c>
      <c r="E238" s="26" t="s">
        <v>3381</v>
      </c>
      <c r="F238" s="26" t="s">
        <v>3335</v>
      </c>
      <c r="G238" s="26" t="s">
        <v>3376</v>
      </c>
      <c r="H238" s="26" t="s">
        <v>3330</v>
      </c>
      <c r="I238" s="26" t="s">
        <v>19</v>
      </c>
      <c r="J238" s="46">
        <f t="shared" si="29"/>
        <v>8968</v>
      </c>
      <c r="K238" s="46">
        <v>49.945099999999996</v>
      </c>
      <c r="L238" s="47">
        <f t="shared" si="30"/>
        <v>179.55715375482282</v>
      </c>
      <c r="M238" s="26">
        <v>60</v>
      </c>
      <c r="N238" s="37">
        <f t="shared" si="28"/>
        <v>149.46666666666667</v>
      </c>
      <c r="O238" s="38">
        <f t="shared" ca="1" si="24"/>
        <v>64</v>
      </c>
      <c r="P238" s="36">
        <f t="shared" ca="1" si="23"/>
        <v>-597.86666666666679</v>
      </c>
      <c r="Q238" s="36">
        <f t="shared" ca="1" si="31"/>
        <v>1</v>
      </c>
      <c r="R238" s="50" t="s">
        <v>3314</v>
      </c>
    </row>
    <row r="239" spans="2:18" s="5" customFormat="1" ht="38.25" customHeight="1" x14ac:dyDescent="0.25">
      <c r="B239" s="27">
        <v>43392</v>
      </c>
      <c r="C239" s="24" t="s">
        <v>2351</v>
      </c>
      <c r="D239" s="26" t="s">
        <v>3310</v>
      </c>
      <c r="E239" s="26" t="s">
        <v>3382</v>
      </c>
      <c r="F239" s="26" t="s">
        <v>3335</v>
      </c>
      <c r="G239" s="26" t="s">
        <v>3376</v>
      </c>
      <c r="H239" s="26" t="s">
        <v>3330</v>
      </c>
      <c r="I239" s="26" t="s">
        <v>19</v>
      </c>
      <c r="J239" s="46">
        <f t="shared" si="29"/>
        <v>8968</v>
      </c>
      <c r="K239" s="46">
        <v>49.945099999999996</v>
      </c>
      <c r="L239" s="47">
        <f t="shared" si="30"/>
        <v>179.55715375482282</v>
      </c>
      <c r="M239" s="26">
        <v>60</v>
      </c>
      <c r="N239" s="37">
        <f t="shared" si="28"/>
        <v>149.46666666666667</v>
      </c>
      <c r="O239" s="38">
        <f t="shared" ca="1" si="24"/>
        <v>64</v>
      </c>
      <c r="P239" s="36">
        <f t="shared" ca="1" si="23"/>
        <v>-597.86666666666679</v>
      </c>
      <c r="Q239" s="36">
        <f t="shared" ca="1" si="31"/>
        <v>1</v>
      </c>
      <c r="R239" s="50" t="s">
        <v>3314</v>
      </c>
    </row>
    <row r="240" spans="2:18" s="5" customFormat="1" ht="39" customHeight="1" x14ac:dyDescent="0.25">
      <c r="B240" s="27">
        <v>43392</v>
      </c>
      <c r="C240" s="24" t="s">
        <v>2351</v>
      </c>
      <c r="D240" s="26" t="s">
        <v>3310</v>
      </c>
      <c r="E240" s="26" t="s">
        <v>3383</v>
      </c>
      <c r="F240" s="26" t="s">
        <v>3335</v>
      </c>
      <c r="G240" s="26" t="s">
        <v>3376</v>
      </c>
      <c r="H240" s="26" t="s">
        <v>3330</v>
      </c>
      <c r="I240" s="26" t="s">
        <v>19</v>
      </c>
      <c r="J240" s="46">
        <f t="shared" si="29"/>
        <v>8968</v>
      </c>
      <c r="K240" s="46">
        <v>49.945099999999996</v>
      </c>
      <c r="L240" s="47">
        <f t="shared" si="30"/>
        <v>179.55715375482282</v>
      </c>
      <c r="M240" s="26">
        <v>60</v>
      </c>
      <c r="N240" s="37">
        <f t="shared" si="28"/>
        <v>149.46666666666667</v>
      </c>
      <c r="O240" s="38">
        <f t="shared" ca="1" si="24"/>
        <v>64</v>
      </c>
      <c r="P240" s="36">
        <f t="shared" ca="1" si="23"/>
        <v>-597.86666666666679</v>
      </c>
      <c r="Q240" s="36">
        <f t="shared" ca="1" si="31"/>
        <v>1</v>
      </c>
      <c r="R240" s="50" t="s">
        <v>3314</v>
      </c>
    </row>
    <row r="241" spans="2:18" s="5" customFormat="1" ht="50.25" customHeight="1" x14ac:dyDescent="0.25">
      <c r="B241" s="27">
        <v>43392</v>
      </c>
      <c r="C241" s="24" t="s">
        <v>2351</v>
      </c>
      <c r="D241" s="26" t="s">
        <v>3310</v>
      </c>
      <c r="E241" s="26" t="s">
        <v>3384</v>
      </c>
      <c r="F241" s="26" t="s">
        <v>3335</v>
      </c>
      <c r="G241" s="26" t="s">
        <v>3376</v>
      </c>
      <c r="H241" s="26" t="s">
        <v>3330</v>
      </c>
      <c r="I241" s="26" t="s">
        <v>19</v>
      </c>
      <c r="J241" s="46">
        <f t="shared" si="29"/>
        <v>8968</v>
      </c>
      <c r="K241" s="46">
        <v>49.945099999999996</v>
      </c>
      <c r="L241" s="47">
        <f t="shared" si="30"/>
        <v>179.55715375482282</v>
      </c>
      <c r="M241" s="26">
        <v>60</v>
      </c>
      <c r="N241" s="37">
        <f t="shared" si="28"/>
        <v>149.46666666666667</v>
      </c>
      <c r="O241" s="38">
        <f t="shared" ca="1" si="24"/>
        <v>64</v>
      </c>
      <c r="P241" s="36">
        <f t="shared" ca="1" si="23"/>
        <v>-597.86666666666679</v>
      </c>
      <c r="Q241" s="36">
        <f t="shared" ca="1" si="31"/>
        <v>1</v>
      </c>
      <c r="R241" s="50" t="s">
        <v>3314</v>
      </c>
    </row>
    <row r="242" spans="2:18" s="5" customFormat="1" ht="39" customHeight="1" x14ac:dyDescent="0.25">
      <c r="B242" s="27">
        <v>43392</v>
      </c>
      <c r="C242" s="24" t="s">
        <v>2351</v>
      </c>
      <c r="D242" s="26" t="s">
        <v>3310</v>
      </c>
      <c r="E242" s="26" t="s">
        <v>3385</v>
      </c>
      <c r="F242" s="26" t="s">
        <v>3335</v>
      </c>
      <c r="G242" s="26" t="s">
        <v>3376</v>
      </c>
      <c r="H242" s="26" t="s">
        <v>3330</v>
      </c>
      <c r="I242" s="26" t="s">
        <v>19</v>
      </c>
      <c r="J242" s="46">
        <f t="shared" si="29"/>
        <v>8968</v>
      </c>
      <c r="K242" s="46">
        <v>49.945099999999996</v>
      </c>
      <c r="L242" s="47">
        <f t="shared" si="30"/>
        <v>179.55715375482282</v>
      </c>
      <c r="M242" s="26">
        <v>60</v>
      </c>
      <c r="N242" s="37">
        <f t="shared" si="28"/>
        <v>149.46666666666667</v>
      </c>
      <c r="O242" s="38">
        <f t="shared" ca="1" si="24"/>
        <v>64</v>
      </c>
      <c r="P242" s="36">
        <f t="shared" ca="1" si="23"/>
        <v>-597.86666666666679</v>
      </c>
      <c r="Q242" s="36">
        <f t="shared" ca="1" si="31"/>
        <v>1</v>
      </c>
      <c r="R242" s="50" t="s">
        <v>3314</v>
      </c>
    </row>
    <row r="243" spans="2:18" s="5" customFormat="1" ht="63.75" x14ac:dyDescent="0.25">
      <c r="B243" s="27">
        <v>43392</v>
      </c>
      <c r="C243" s="24" t="s">
        <v>2351</v>
      </c>
      <c r="D243" s="26" t="s">
        <v>3310</v>
      </c>
      <c r="E243" s="26" t="s">
        <v>3386</v>
      </c>
      <c r="F243" s="26" t="s">
        <v>3335</v>
      </c>
      <c r="G243" s="26" t="s">
        <v>3376</v>
      </c>
      <c r="H243" s="26" t="s">
        <v>3330</v>
      </c>
      <c r="I243" s="26" t="s">
        <v>19</v>
      </c>
      <c r="J243" s="46">
        <f t="shared" si="29"/>
        <v>8968</v>
      </c>
      <c r="K243" s="46">
        <v>49.945099999999996</v>
      </c>
      <c r="L243" s="47">
        <f t="shared" si="30"/>
        <v>179.55715375482282</v>
      </c>
      <c r="M243" s="26">
        <v>60</v>
      </c>
      <c r="N243" s="37">
        <f t="shared" si="28"/>
        <v>149.46666666666667</v>
      </c>
      <c r="O243" s="38">
        <f t="shared" ca="1" si="24"/>
        <v>64</v>
      </c>
      <c r="P243" s="36">
        <f t="shared" ca="1" si="23"/>
        <v>-597.86666666666679</v>
      </c>
      <c r="Q243" s="36">
        <f t="shared" ca="1" si="31"/>
        <v>1</v>
      </c>
      <c r="R243" s="50" t="s">
        <v>3314</v>
      </c>
    </row>
    <row r="244" spans="2:18" s="5" customFormat="1" ht="63.75" x14ac:dyDescent="0.25">
      <c r="B244" s="27">
        <v>43392</v>
      </c>
      <c r="C244" s="24" t="s">
        <v>2351</v>
      </c>
      <c r="D244" s="26" t="s">
        <v>3310</v>
      </c>
      <c r="E244" s="26" t="s">
        <v>3387</v>
      </c>
      <c r="F244" s="26" t="s">
        <v>3335</v>
      </c>
      <c r="G244" s="26" t="s">
        <v>3376</v>
      </c>
      <c r="H244" s="26" t="s">
        <v>3330</v>
      </c>
      <c r="I244" s="26" t="s">
        <v>19</v>
      </c>
      <c r="J244" s="46">
        <f t="shared" si="29"/>
        <v>8968</v>
      </c>
      <c r="K244" s="46">
        <v>49.945099999999996</v>
      </c>
      <c r="L244" s="47">
        <f t="shared" si="30"/>
        <v>179.55715375482282</v>
      </c>
      <c r="M244" s="26">
        <v>60</v>
      </c>
      <c r="N244" s="37">
        <f t="shared" si="28"/>
        <v>149.46666666666667</v>
      </c>
      <c r="O244" s="38">
        <f t="shared" ca="1" si="24"/>
        <v>64</v>
      </c>
      <c r="P244" s="36">
        <f t="shared" ca="1" si="23"/>
        <v>-597.86666666666679</v>
      </c>
      <c r="Q244" s="36">
        <f t="shared" ca="1" si="31"/>
        <v>1</v>
      </c>
      <c r="R244" s="50" t="s">
        <v>3314</v>
      </c>
    </row>
    <row r="245" spans="2:18" s="5" customFormat="1" ht="63.75" x14ac:dyDescent="0.25">
      <c r="B245" s="27">
        <v>43392</v>
      </c>
      <c r="C245" s="24" t="s">
        <v>2351</v>
      </c>
      <c r="D245" s="26" t="s">
        <v>3310</v>
      </c>
      <c r="E245" s="26" t="s">
        <v>3388</v>
      </c>
      <c r="F245" s="26" t="s">
        <v>3389</v>
      </c>
      <c r="G245" s="26" t="s">
        <v>28</v>
      </c>
      <c r="H245" s="26" t="s">
        <v>3330</v>
      </c>
      <c r="I245" s="26" t="s">
        <v>19</v>
      </c>
      <c r="J245" s="46">
        <v>116820</v>
      </c>
      <c r="K245" s="46">
        <v>49.945099999999996</v>
      </c>
      <c r="L245" s="47">
        <f t="shared" si="30"/>
        <v>2338.9681870694026</v>
      </c>
      <c r="M245" s="26">
        <v>60</v>
      </c>
      <c r="N245" s="37">
        <f t="shared" si="28"/>
        <v>1947</v>
      </c>
      <c r="O245" s="38">
        <f t="shared" ca="1" si="24"/>
        <v>64</v>
      </c>
      <c r="P245" s="36">
        <f t="shared" ca="1" si="23"/>
        <v>-7788</v>
      </c>
      <c r="Q245" s="36">
        <f t="shared" ca="1" si="31"/>
        <v>1</v>
      </c>
      <c r="R245" s="50" t="s">
        <v>3314</v>
      </c>
    </row>
    <row r="246" spans="2:18" s="5" customFormat="1" ht="60.75" customHeight="1" x14ac:dyDescent="0.25">
      <c r="B246" s="27">
        <v>43392</v>
      </c>
      <c r="C246" s="24" t="s">
        <v>2351</v>
      </c>
      <c r="D246" s="26" t="s">
        <v>3310</v>
      </c>
      <c r="E246" s="26" t="s">
        <v>3390</v>
      </c>
      <c r="F246" s="26" t="s">
        <v>3316</v>
      </c>
      <c r="G246" s="26" t="s">
        <v>28</v>
      </c>
      <c r="H246" s="26" t="s">
        <v>3369</v>
      </c>
      <c r="I246" s="26" t="s">
        <v>19</v>
      </c>
      <c r="J246" s="46">
        <v>4366</v>
      </c>
      <c r="K246" s="46">
        <v>49.945099999999996</v>
      </c>
      <c r="L246" s="47">
        <f t="shared" si="30"/>
        <v>87.415982749058472</v>
      </c>
      <c r="M246" s="26">
        <v>60</v>
      </c>
      <c r="N246" s="37">
        <f t="shared" si="28"/>
        <v>72.766666666666666</v>
      </c>
      <c r="O246" s="38">
        <f t="shared" ca="1" si="24"/>
        <v>64</v>
      </c>
      <c r="P246" s="36">
        <f t="shared" ca="1" si="23"/>
        <v>-291.06666666666661</v>
      </c>
      <c r="Q246" s="36">
        <f t="shared" ca="1" si="31"/>
        <v>1</v>
      </c>
      <c r="R246" s="50" t="s">
        <v>3314</v>
      </c>
    </row>
    <row r="247" spans="2:18" s="5" customFormat="1" ht="63.75" x14ac:dyDescent="0.25">
      <c r="B247" s="27">
        <v>43392</v>
      </c>
      <c r="C247" s="24" t="s">
        <v>2351</v>
      </c>
      <c r="D247" s="26" t="s">
        <v>3310</v>
      </c>
      <c r="E247" s="26" t="s">
        <v>3391</v>
      </c>
      <c r="F247" s="26" t="s">
        <v>3316</v>
      </c>
      <c r="G247" s="26" t="s">
        <v>28</v>
      </c>
      <c r="H247" s="26" t="s">
        <v>3369</v>
      </c>
      <c r="I247" s="26" t="s">
        <v>19</v>
      </c>
      <c r="J247" s="46">
        <v>4366</v>
      </c>
      <c r="K247" s="46">
        <v>49.945099999999996</v>
      </c>
      <c r="L247" s="47">
        <f t="shared" ref="L247:L295" si="32">+J247/K247</f>
        <v>87.415982749058472</v>
      </c>
      <c r="M247" s="26">
        <v>60</v>
      </c>
      <c r="N247" s="37">
        <f t="shared" si="28"/>
        <v>72.766666666666666</v>
      </c>
      <c r="O247" s="38">
        <f t="shared" ca="1" si="24"/>
        <v>64</v>
      </c>
      <c r="P247" s="36">
        <f t="shared" ca="1" si="23"/>
        <v>-291.06666666666661</v>
      </c>
      <c r="Q247" s="36">
        <f t="shared" ca="1" si="31"/>
        <v>1</v>
      </c>
      <c r="R247" s="50" t="s">
        <v>3314</v>
      </c>
    </row>
    <row r="248" spans="2:18" s="5" customFormat="1" ht="63" customHeight="1" x14ac:dyDescent="0.25">
      <c r="B248" s="27">
        <v>43392</v>
      </c>
      <c r="C248" s="24" t="s">
        <v>2351</v>
      </c>
      <c r="D248" s="26" t="s">
        <v>3310</v>
      </c>
      <c r="E248" s="26" t="s">
        <v>3392</v>
      </c>
      <c r="F248" s="26" t="s">
        <v>3316</v>
      </c>
      <c r="G248" s="26" t="s">
        <v>28</v>
      </c>
      <c r="H248" s="26" t="s">
        <v>3330</v>
      </c>
      <c r="I248" s="26" t="s">
        <v>19</v>
      </c>
      <c r="J248" s="46">
        <v>4366</v>
      </c>
      <c r="K248" s="46">
        <v>49.945099999999996</v>
      </c>
      <c r="L248" s="47">
        <f t="shared" si="32"/>
        <v>87.415982749058472</v>
      </c>
      <c r="M248" s="26">
        <v>60</v>
      </c>
      <c r="N248" s="37">
        <f t="shared" si="28"/>
        <v>72.766666666666666</v>
      </c>
      <c r="O248" s="38">
        <f t="shared" ca="1" si="24"/>
        <v>64</v>
      </c>
      <c r="P248" s="36">
        <f t="shared" ca="1" si="23"/>
        <v>-291.06666666666661</v>
      </c>
      <c r="Q248" s="36">
        <f t="shared" ca="1" si="31"/>
        <v>1</v>
      </c>
      <c r="R248" s="50" t="s">
        <v>3314</v>
      </c>
    </row>
    <row r="249" spans="2:18" s="5" customFormat="1" ht="63.75" x14ac:dyDescent="0.25">
      <c r="B249" s="27">
        <v>43392</v>
      </c>
      <c r="C249" s="24" t="s">
        <v>2351</v>
      </c>
      <c r="D249" s="26" t="s">
        <v>3310</v>
      </c>
      <c r="E249" s="26" t="s">
        <v>3393</v>
      </c>
      <c r="F249" s="26" t="s">
        <v>3316</v>
      </c>
      <c r="G249" s="26" t="s">
        <v>28</v>
      </c>
      <c r="H249" s="26" t="s">
        <v>3330</v>
      </c>
      <c r="I249" s="26" t="s">
        <v>19</v>
      </c>
      <c r="J249" s="46">
        <v>4366</v>
      </c>
      <c r="K249" s="46">
        <v>49.945099999999996</v>
      </c>
      <c r="L249" s="47">
        <f t="shared" si="32"/>
        <v>87.415982749058472</v>
      </c>
      <c r="M249" s="26">
        <v>60</v>
      </c>
      <c r="N249" s="37">
        <f t="shared" si="28"/>
        <v>72.766666666666666</v>
      </c>
      <c r="O249" s="38">
        <f t="shared" ca="1" si="24"/>
        <v>64</v>
      </c>
      <c r="P249" s="36">
        <f t="shared" ca="1" si="23"/>
        <v>-291.06666666666661</v>
      </c>
      <c r="Q249" s="36">
        <f t="shared" ca="1" si="31"/>
        <v>1</v>
      </c>
      <c r="R249" s="50" t="s">
        <v>3314</v>
      </c>
    </row>
    <row r="250" spans="2:18" s="5" customFormat="1" ht="63.75" x14ac:dyDescent="0.25">
      <c r="B250" s="27">
        <v>43392</v>
      </c>
      <c r="C250" s="24" t="s">
        <v>2351</v>
      </c>
      <c r="D250" s="26" t="s">
        <v>3310</v>
      </c>
      <c r="E250" s="26" t="s">
        <v>3394</v>
      </c>
      <c r="F250" s="26" t="s">
        <v>3316</v>
      </c>
      <c r="G250" s="26" t="s">
        <v>28</v>
      </c>
      <c r="H250" s="26" t="s">
        <v>3330</v>
      </c>
      <c r="I250" s="26" t="s">
        <v>19</v>
      </c>
      <c r="J250" s="46">
        <v>4366</v>
      </c>
      <c r="K250" s="46">
        <v>49.945099999999996</v>
      </c>
      <c r="L250" s="47">
        <f t="shared" si="32"/>
        <v>87.415982749058472</v>
      </c>
      <c r="M250" s="26">
        <v>60</v>
      </c>
      <c r="N250" s="37">
        <f t="shared" si="28"/>
        <v>72.766666666666666</v>
      </c>
      <c r="O250" s="38">
        <f t="shared" ref="O250:O295" ca="1" si="33">IF(B250&lt;&gt;0,(ROUND((NOW()-B250)/30,0)),0)</f>
        <v>64</v>
      </c>
      <c r="P250" s="36">
        <f t="shared" ca="1" si="23"/>
        <v>-291.06666666666661</v>
      </c>
      <c r="Q250" s="36">
        <f t="shared" ca="1" si="31"/>
        <v>1</v>
      </c>
      <c r="R250" s="50" t="s">
        <v>3314</v>
      </c>
    </row>
    <row r="251" spans="2:18" s="5" customFormat="1" ht="39" customHeight="1" x14ac:dyDescent="0.25">
      <c r="B251" s="27">
        <v>43392</v>
      </c>
      <c r="C251" s="24" t="s">
        <v>2351</v>
      </c>
      <c r="D251" s="26" t="s">
        <v>3310</v>
      </c>
      <c r="E251" s="26" t="s">
        <v>3395</v>
      </c>
      <c r="F251" s="26" t="s">
        <v>3316</v>
      </c>
      <c r="G251" s="26" t="s">
        <v>28</v>
      </c>
      <c r="H251" s="26" t="s">
        <v>3330</v>
      </c>
      <c r="I251" s="26" t="s">
        <v>19</v>
      </c>
      <c r="J251" s="46">
        <v>4366</v>
      </c>
      <c r="K251" s="46">
        <v>49.945099999999996</v>
      </c>
      <c r="L251" s="47">
        <f t="shared" si="32"/>
        <v>87.415982749058472</v>
      </c>
      <c r="M251" s="26">
        <v>60</v>
      </c>
      <c r="N251" s="37">
        <f t="shared" si="28"/>
        <v>72.766666666666666</v>
      </c>
      <c r="O251" s="38">
        <f t="shared" ca="1" si="33"/>
        <v>64</v>
      </c>
      <c r="P251" s="36">
        <f t="shared" ca="1" si="23"/>
        <v>-291.06666666666661</v>
      </c>
      <c r="Q251" s="36">
        <f t="shared" ca="1" si="31"/>
        <v>1</v>
      </c>
      <c r="R251" s="50" t="s">
        <v>3314</v>
      </c>
    </row>
    <row r="252" spans="2:18" s="5" customFormat="1" ht="63.75" x14ac:dyDescent="0.25">
      <c r="B252" s="27">
        <v>43392</v>
      </c>
      <c r="C252" s="24" t="s">
        <v>2351</v>
      </c>
      <c r="D252" s="26" t="s">
        <v>3310</v>
      </c>
      <c r="E252" s="26" t="s">
        <v>3396</v>
      </c>
      <c r="F252" s="26" t="s">
        <v>3316</v>
      </c>
      <c r="G252" s="26" t="s">
        <v>28</v>
      </c>
      <c r="H252" s="26" t="s">
        <v>3330</v>
      </c>
      <c r="I252" s="26" t="s">
        <v>19</v>
      </c>
      <c r="J252" s="46">
        <v>4366</v>
      </c>
      <c r="K252" s="46">
        <v>49.945099999999996</v>
      </c>
      <c r="L252" s="47">
        <f t="shared" si="32"/>
        <v>87.415982749058472</v>
      </c>
      <c r="M252" s="26">
        <v>60</v>
      </c>
      <c r="N252" s="37">
        <f t="shared" si="28"/>
        <v>72.766666666666666</v>
      </c>
      <c r="O252" s="38">
        <f t="shared" ca="1" si="33"/>
        <v>64</v>
      </c>
      <c r="P252" s="36">
        <f t="shared" ca="1" si="23"/>
        <v>-291.06666666666661</v>
      </c>
      <c r="Q252" s="36">
        <f t="shared" ca="1" si="31"/>
        <v>1</v>
      </c>
      <c r="R252" s="50" t="s">
        <v>3314</v>
      </c>
    </row>
    <row r="253" spans="2:18" s="5" customFormat="1" ht="63.75" x14ac:dyDescent="0.25">
      <c r="B253" s="27">
        <v>43392</v>
      </c>
      <c r="C253" s="24" t="s">
        <v>2351</v>
      </c>
      <c r="D253" s="26" t="s">
        <v>3310</v>
      </c>
      <c r="E253" s="26" t="s">
        <v>3397</v>
      </c>
      <c r="F253" s="26" t="s">
        <v>3316</v>
      </c>
      <c r="G253" s="26" t="s">
        <v>28</v>
      </c>
      <c r="H253" s="26" t="s">
        <v>3330</v>
      </c>
      <c r="I253" s="26" t="s">
        <v>19</v>
      </c>
      <c r="J253" s="46">
        <v>4366</v>
      </c>
      <c r="K253" s="46">
        <v>49.945099999999996</v>
      </c>
      <c r="L253" s="47">
        <f t="shared" si="32"/>
        <v>87.415982749058472</v>
      </c>
      <c r="M253" s="26">
        <v>60</v>
      </c>
      <c r="N253" s="37">
        <f t="shared" si="28"/>
        <v>72.766666666666666</v>
      </c>
      <c r="O253" s="38">
        <f t="shared" ca="1" si="33"/>
        <v>64</v>
      </c>
      <c r="P253" s="36">
        <f t="shared" ca="1" si="23"/>
        <v>-291.06666666666661</v>
      </c>
      <c r="Q253" s="36">
        <f t="shared" ca="1" si="31"/>
        <v>1</v>
      </c>
      <c r="R253" s="50" t="s">
        <v>3314</v>
      </c>
    </row>
    <row r="254" spans="2:18" s="5" customFormat="1" ht="66" customHeight="1" x14ac:dyDescent="0.25">
      <c r="B254" s="27">
        <v>43392</v>
      </c>
      <c r="C254" s="24" t="s">
        <v>2351</v>
      </c>
      <c r="D254" s="26" t="s">
        <v>3310</v>
      </c>
      <c r="E254" s="26" t="s">
        <v>3398</v>
      </c>
      <c r="F254" s="26" t="s">
        <v>3316</v>
      </c>
      <c r="G254" s="26" t="s">
        <v>28</v>
      </c>
      <c r="H254" s="26" t="s">
        <v>3330</v>
      </c>
      <c r="I254" s="26" t="s">
        <v>19</v>
      </c>
      <c r="J254" s="46">
        <v>4366</v>
      </c>
      <c r="K254" s="46">
        <v>49.945099999999996</v>
      </c>
      <c r="L254" s="47">
        <f t="shared" si="32"/>
        <v>87.415982749058472</v>
      </c>
      <c r="M254" s="26">
        <v>60</v>
      </c>
      <c r="N254" s="37">
        <f t="shared" si="28"/>
        <v>72.766666666666666</v>
      </c>
      <c r="O254" s="38">
        <f t="shared" ca="1" si="33"/>
        <v>64</v>
      </c>
      <c r="P254" s="36">
        <f t="shared" ca="1" si="23"/>
        <v>-291.06666666666661</v>
      </c>
      <c r="Q254" s="36">
        <f t="shared" ca="1" si="31"/>
        <v>1</v>
      </c>
      <c r="R254" s="50" t="s">
        <v>3314</v>
      </c>
    </row>
    <row r="255" spans="2:18" s="5" customFormat="1" ht="65.25" customHeight="1" x14ac:dyDescent="0.25">
      <c r="B255" s="27">
        <v>43392</v>
      </c>
      <c r="C255" s="24" t="s">
        <v>2351</v>
      </c>
      <c r="D255" s="26" t="s">
        <v>3310</v>
      </c>
      <c r="E255" s="26" t="s">
        <v>3399</v>
      </c>
      <c r="F255" s="26" t="s">
        <v>3316</v>
      </c>
      <c r="G255" s="26" t="s">
        <v>28</v>
      </c>
      <c r="H255" s="26" t="s">
        <v>3330</v>
      </c>
      <c r="I255" s="26" t="s">
        <v>19</v>
      </c>
      <c r="J255" s="46">
        <v>4366</v>
      </c>
      <c r="K255" s="46">
        <v>49.945099999999996</v>
      </c>
      <c r="L255" s="47">
        <f t="shared" si="32"/>
        <v>87.415982749058472</v>
      </c>
      <c r="M255" s="26">
        <v>60</v>
      </c>
      <c r="N255" s="37">
        <f t="shared" si="28"/>
        <v>72.766666666666666</v>
      </c>
      <c r="O255" s="38">
        <f t="shared" ca="1" si="33"/>
        <v>64</v>
      </c>
      <c r="P255" s="36">
        <f t="shared" ca="1" si="23"/>
        <v>-291.06666666666661</v>
      </c>
      <c r="Q255" s="36">
        <f t="shared" ca="1" si="31"/>
        <v>1</v>
      </c>
      <c r="R255" s="50" t="s">
        <v>3314</v>
      </c>
    </row>
    <row r="256" spans="2:18" s="5" customFormat="1" ht="53.25" customHeight="1" x14ac:dyDescent="0.25">
      <c r="B256" s="27">
        <v>43392</v>
      </c>
      <c r="C256" s="24" t="s">
        <v>2351</v>
      </c>
      <c r="D256" s="26" t="s">
        <v>3402</v>
      </c>
      <c r="E256" s="26" t="s">
        <v>3403</v>
      </c>
      <c r="F256" s="26" t="s">
        <v>3404</v>
      </c>
      <c r="G256" s="26" t="s">
        <v>3405</v>
      </c>
      <c r="H256" s="26" t="s">
        <v>3406</v>
      </c>
      <c r="I256" s="26" t="s">
        <v>19</v>
      </c>
      <c r="J256" s="46">
        <f>10957.48/2</f>
        <v>5478.74</v>
      </c>
      <c r="K256" s="46">
        <v>49.945099999999996</v>
      </c>
      <c r="L256" s="47">
        <f t="shared" si="32"/>
        <v>109.69524537942661</v>
      </c>
      <c r="M256" s="26">
        <v>60</v>
      </c>
      <c r="N256" s="37">
        <f t="shared" si="28"/>
        <v>91.312333333333328</v>
      </c>
      <c r="O256" s="38">
        <f t="shared" ca="1" si="33"/>
        <v>64</v>
      </c>
      <c r="P256" s="36">
        <f t="shared" ca="1" si="23"/>
        <v>-365.2493333333332</v>
      </c>
      <c r="Q256" s="36">
        <f t="shared" ca="1" si="31"/>
        <v>1</v>
      </c>
      <c r="R256" s="50" t="s">
        <v>3166</v>
      </c>
    </row>
    <row r="257" spans="2:18" s="5" customFormat="1" ht="57.75" customHeight="1" x14ac:dyDescent="0.25">
      <c r="B257" s="27">
        <v>43392</v>
      </c>
      <c r="C257" s="24" t="s">
        <v>2351</v>
      </c>
      <c r="D257" s="26" t="s">
        <v>3402</v>
      </c>
      <c r="E257" s="26" t="s">
        <v>3407</v>
      </c>
      <c r="F257" s="26" t="s">
        <v>3404</v>
      </c>
      <c r="G257" s="26" t="s">
        <v>3408</v>
      </c>
      <c r="H257" s="26" t="s">
        <v>3406</v>
      </c>
      <c r="I257" s="26" t="s">
        <v>19</v>
      </c>
      <c r="J257" s="46">
        <f>10957.48/2</f>
        <v>5478.74</v>
      </c>
      <c r="K257" s="46">
        <v>49.945099999999996</v>
      </c>
      <c r="L257" s="47">
        <f t="shared" si="32"/>
        <v>109.69524537942661</v>
      </c>
      <c r="M257" s="26">
        <v>60</v>
      </c>
      <c r="N257" s="37">
        <f t="shared" si="28"/>
        <v>91.312333333333328</v>
      </c>
      <c r="O257" s="38">
        <f t="shared" ca="1" si="33"/>
        <v>64</v>
      </c>
      <c r="P257" s="36">
        <f t="shared" ca="1" si="23"/>
        <v>-365.2493333333332</v>
      </c>
      <c r="Q257" s="36">
        <f t="shared" ca="1" si="31"/>
        <v>1</v>
      </c>
      <c r="R257" s="50" t="s">
        <v>3166</v>
      </c>
    </row>
    <row r="258" spans="2:18" s="5" customFormat="1" ht="51" customHeight="1" x14ac:dyDescent="0.25">
      <c r="B258" s="27">
        <v>43392</v>
      </c>
      <c r="C258" s="24" t="s">
        <v>2351</v>
      </c>
      <c r="D258" s="26" t="s">
        <v>3409</v>
      </c>
      <c r="E258" s="26" t="s">
        <v>3410</v>
      </c>
      <c r="F258" s="26" t="s">
        <v>3344</v>
      </c>
      <c r="G258" s="26" t="s">
        <v>3411</v>
      </c>
      <c r="H258" s="26" t="s">
        <v>2898</v>
      </c>
      <c r="I258" s="26" t="s">
        <v>19</v>
      </c>
      <c r="J258" s="46">
        <v>25080</v>
      </c>
      <c r="K258" s="46">
        <v>49.806600000000003</v>
      </c>
      <c r="L258" s="47">
        <f t="shared" si="32"/>
        <v>503.54772259098189</v>
      </c>
      <c r="M258" s="26">
        <v>60</v>
      </c>
      <c r="N258" s="37">
        <f t="shared" si="28"/>
        <v>418</v>
      </c>
      <c r="O258" s="38">
        <f t="shared" ca="1" si="33"/>
        <v>64</v>
      </c>
      <c r="P258" s="36">
        <f t="shared" ca="1" si="23"/>
        <v>-1672</v>
      </c>
      <c r="Q258" s="36">
        <f t="shared" ca="1" si="31"/>
        <v>1</v>
      </c>
      <c r="R258" s="50" t="s">
        <v>2663</v>
      </c>
    </row>
    <row r="259" spans="2:18" s="5" customFormat="1" ht="56.25" customHeight="1" x14ac:dyDescent="0.25">
      <c r="B259" s="27">
        <v>43392</v>
      </c>
      <c r="C259" s="24" t="s">
        <v>2351</v>
      </c>
      <c r="D259" s="26" t="s">
        <v>3412</v>
      </c>
      <c r="E259" s="26" t="s">
        <v>3413</v>
      </c>
      <c r="F259" s="26" t="s">
        <v>3414</v>
      </c>
      <c r="G259" s="26" t="s">
        <v>3415</v>
      </c>
      <c r="H259" s="26" t="s">
        <v>3416</v>
      </c>
      <c r="I259" s="26" t="s">
        <v>19</v>
      </c>
      <c r="J259" s="46">
        <v>263261.25</v>
      </c>
      <c r="K259" s="46">
        <v>49.243600000000001</v>
      </c>
      <c r="L259" s="47">
        <f t="shared" si="32"/>
        <v>5346.1008131005856</v>
      </c>
      <c r="M259" s="26">
        <v>60</v>
      </c>
      <c r="N259" s="37">
        <f t="shared" si="28"/>
        <v>4387.6875</v>
      </c>
      <c r="O259" s="38">
        <f t="shared" ca="1" si="33"/>
        <v>64</v>
      </c>
      <c r="P259" s="36">
        <f t="shared" ca="1" si="23"/>
        <v>-17550.75</v>
      </c>
      <c r="Q259" s="36">
        <f t="shared" ca="1" si="31"/>
        <v>1</v>
      </c>
      <c r="R259" s="50" t="s">
        <v>3417</v>
      </c>
    </row>
    <row r="260" spans="2:18" s="5" customFormat="1" ht="58.5" customHeight="1" x14ac:dyDescent="0.25">
      <c r="B260" s="27">
        <v>43392</v>
      </c>
      <c r="C260" s="24" t="s">
        <v>2351</v>
      </c>
      <c r="D260" s="26" t="s">
        <v>3418</v>
      </c>
      <c r="E260" s="26" t="s">
        <v>3419</v>
      </c>
      <c r="F260" s="26" t="s">
        <v>3420</v>
      </c>
      <c r="G260" s="26" t="s">
        <v>3421</v>
      </c>
      <c r="H260" s="26" t="s">
        <v>3416</v>
      </c>
      <c r="I260" s="26" t="s">
        <v>19</v>
      </c>
      <c r="J260" s="46">
        <v>372241.56</v>
      </c>
      <c r="K260" s="46">
        <v>49.243600000000001</v>
      </c>
      <c r="L260" s="47">
        <f t="shared" si="32"/>
        <v>7559.1865744990209</v>
      </c>
      <c r="M260" s="26">
        <v>60</v>
      </c>
      <c r="N260" s="37">
        <f t="shared" si="28"/>
        <v>6204.0259999999998</v>
      </c>
      <c r="O260" s="38">
        <f t="shared" ca="1" si="33"/>
        <v>64</v>
      </c>
      <c r="P260" s="36">
        <f t="shared" ca="1" si="23"/>
        <v>-24816.103999999992</v>
      </c>
      <c r="Q260" s="36">
        <f t="shared" ca="1" si="31"/>
        <v>1</v>
      </c>
      <c r="R260" s="50" t="s">
        <v>3422</v>
      </c>
    </row>
    <row r="261" spans="2:18" s="5" customFormat="1" ht="39" customHeight="1" x14ac:dyDescent="0.25">
      <c r="B261" s="27">
        <v>43392</v>
      </c>
      <c r="C261" s="24" t="s">
        <v>2351</v>
      </c>
      <c r="D261" s="26" t="s">
        <v>3418</v>
      </c>
      <c r="E261" s="26" t="s">
        <v>3423</v>
      </c>
      <c r="F261" s="26" t="s">
        <v>3424</v>
      </c>
      <c r="G261" s="26" t="s">
        <v>28</v>
      </c>
      <c r="H261" s="26" t="s">
        <v>60</v>
      </c>
      <c r="I261" s="26" t="s">
        <v>19</v>
      </c>
      <c r="J261" s="46">
        <v>207659.63</v>
      </c>
      <c r="K261" s="46">
        <v>49.243600000000001</v>
      </c>
      <c r="L261" s="47">
        <f t="shared" si="32"/>
        <v>4216.9871820906674</v>
      </c>
      <c r="M261" s="26">
        <v>60</v>
      </c>
      <c r="N261" s="37">
        <f t="shared" ref="N261:N303" si="34">IF(AND(J261&lt;&gt;0,M261&lt;&gt;0),J261/M261,0)</f>
        <v>3460.9938333333334</v>
      </c>
      <c r="O261" s="38">
        <f t="shared" ca="1" si="33"/>
        <v>64</v>
      </c>
      <c r="P261" s="36">
        <f t="shared" ca="1" si="23"/>
        <v>-13843.975333333336</v>
      </c>
      <c r="Q261" s="36">
        <f t="shared" ca="1" si="31"/>
        <v>1</v>
      </c>
      <c r="R261" s="50" t="s">
        <v>3422</v>
      </c>
    </row>
    <row r="262" spans="2:18" s="5" customFormat="1" ht="40.5" customHeight="1" x14ac:dyDescent="0.25">
      <c r="B262" s="27">
        <v>43392</v>
      </c>
      <c r="C262" s="24" t="s">
        <v>2351</v>
      </c>
      <c r="D262" s="26" t="s">
        <v>3418</v>
      </c>
      <c r="E262" s="26" t="s">
        <v>3425</v>
      </c>
      <c r="F262" s="26" t="s">
        <v>3426</v>
      </c>
      <c r="G262" s="26" t="s">
        <v>3427</v>
      </c>
      <c r="H262" s="26" t="s">
        <v>3416</v>
      </c>
      <c r="I262" s="26" t="s">
        <v>19</v>
      </c>
      <c r="J262" s="46">
        <v>246673.76</v>
      </c>
      <c r="K262" s="46">
        <v>49.243600000000001</v>
      </c>
      <c r="L262" s="47">
        <f t="shared" si="32"/>
        <v>5009.2552128601483</v>
      </c>
      <c r="M262" s="26">
        <v>60</v>
      </c>
      <c r="N262" s="37">
        <f t="shared" si="34"/>
        <v>4111.2293333333337</v>
      </c>
      <c r="O262" s="38">
        <f t="shared" ca="1" si="33"/>
        <v>64</v>
      </c>
      <c r="P262" s="36">
        <f t="shared" ca="1" si="23"/>
        <v>-16444.917333333346</v>
      </c>
      <c r="Q262" s="36">
        <f t="shared" ca="1" si="31"/>
        <v>1</v>
      </c>
      <c r="R262" s="50" t="s">
        <v>3422</v>
      </c>
    </row>
    <row r="263" spans="2:18" s="5" customFormat="1" ht="54" customHeight="1" x14ac:dyDescent="0.25">
      <c r="B263" s="27">
        <v>43461</v>
      </c>
      <c r="C263" s="24" t="s">
        <v>2351</v>
      </c>
      <c r="D263" s="26" t="s">
        <v>3428</v>
      </c>
      <c r="E263" s="26" t="s">
        <v>3429</v>
      </c>
      <c r="F263" s="26" t="s">
        <v>3430</v>
      </c>
      <c r="G263" s="26" t="s">
        <v>28</v>
      </c>
      <c r="H263" s="26" t="s">
        <v>2988</v>
      </c>
      <c r="I263" s="26" t="s">
        <v>19</v>
      </c>
      <c r="J263" s="46">
        <v>6608</v>
      </c>
      <c r="K263" s="46">
        <v>50.150399999999998</v>
      </c>
      <c r="L263" s="47">
        <f t="shared" si="32"/>
        <v>131.76365492598265</v>
      </c>
      <c r="M263" s="26">
        <v>60</v>
      </c>
      <c r="N263" s="37">
        <f t="shared" si="34"/>
        <v>110.13333333333334</v>
      </c>
      <c r="O263" s="38">
        <f t="shared" ca="1" si="33"/>
        <v>61</v>
      </c>
      <c r="P263" s="36">
        <f t="shared" ca="1" si="23"/>
        <v>-110.13333333333412</v>
      </c>
      <c r="Q263" s="36">
        <f t="shared" ca="1" si="31"/>
        <v>1</v>
      </c>
      <c r="R263" s="50" t="s">
        <v>2663</v>
      </c>
    </row>
    <row r="264" spans="2:18" s="5" customFormat="1" ht="38.25" x14ac:dyDescent="0.25">
      <c r="B264" s="27">
        <v>43461</v>
      </c>
      <c r="C264" s="24" t="s">
        <v>2351</v>
      </c>
      <c r="D264" s="26" t="s">
        <v>3428</v>
      </c>
      <c r="E264" s="26" t="s">
        <v>3431</v>
      </c>
      <c r="F264" s="26" t="s">
        <v>3430</v>
      </c>
      <c r="G264" s="26" t="s">
        <v>28</v>
      </c>
      <c r="H264" s="26" t="s">
        <v>3432</v>
      </c>
      <c r="I264" s="26" t="s">
        <v>19</v>
      </c>
      <c r="J264" s="46">
        <v>6608</v>
      </c>
      <c r="K264" s="46">
        <v>50.150399999999998</v>
      </c>
      <c r="L264" s="47">
        <f t="shared" si="32"/>
        <v>131.76365492598265</v>
      </c>
      <c r="M264" s="26">
        <v>60</v>
      </c>
      <c r="N264" s="37">
        <f t="shared" si="34"/>
        <v>110.13333333333334</v>
      </c>
      <c r="O264" s="38">
        <f t="shared" ca="1" si="33"/>
        <v>61</v>
      </c>
      <c r="P264" s="36">
        <f t="shared" ca="1" si="23"/>
        <v>-110.13333333333412</v>
      </c>
      <c r="Q264" s="36">
        <f t="shared" ca="1" si="31"/>
        <v>1</v>
      </c>
      <c r="R264" s="50" t="s">
        <v>2663</v>
      </c>
    </row>
    <row r="265" spans="2:18" s="5" customFormat="1" ht="51" x14ac:dyDescent="0.25">
      <c r="B265" s="27">
        <v>43465</v>
      </c>
      <c r="C265" s="24" t="s">
        <v>2351</v>
      </c>
      <c r="D265" s="26" t="s">
        <v>3433</v>
      </c>
      <c r="E265" s="26" t="s">
        <v>3434</v>
      </c>
      <c r="F265" s="26" t="s">
        <v>3435</v>
      </c>
      <c r="G265" s="468" t="s">
        <v>3436</v>
      </c>
      <c r="H265" s="26" t="s">
        <v>1108</v>
      </c>
      <c r="I265" s="26" t="s">
        <v>19</v>
      </c>
      <c r="J265" s="46">
        <v>26979.52</v>
      </c>
      <c r="K265" s="46">
        <v>50.146900000000002</v>
      </c>
      <c r="L265" s="47">
        <f t="shared" si="32"/>
        <v>538.00972742083752</v>
      </c>
      <c r="M265" s="26">
        <v>60</v>
      </c>
      <c r="N265" s="37">
        <f t="shared" si="34"/>
        <v>449.65866666666665</v>
      </c>
      <c r="O265" s="38">
        <f t="shared" ca="1" si="33"/>
        <v>61</v>
      </c>
      <c r="P265" s="36">
        <f t="shared" ref="P265:P328" ca="1" si="35">IF(OR(J265=0,M265=0,O265=0),0,J265-(N265*O265))</f>
        <v>-449.65866666666625</v>
      </c>
      <c r="Q265" s="36">
        <f t="shared" ca="1" si="31"/>
        <v>1</v>
      </c>
      <c r="R265" s="50" t="s">
        <v>3166</v>
      </c>
    </row>
    <row r="266" spans="2:18" s="5" customFormat="1" ht="51" customHeight="1" x14ac:dyDescent="0.25">
      <c r="B266" s="27">
        <v>43465</v>
      </c>
      <c r="C266" s="24" t="s">
        <v>2351</v>
      </c>
      <c r="D266" s="26" t="s">
        <v>3433</v>
      </c>
      <c r="E266" s="26" t="s">
        <v>3437</v>
      </c>
      <c r="F266" s="26" t="s">
        <v>3438</v>
      </c>
      <c r="G266" s="468" t="s">
        <v>3439</v>
      </c>
      <c r="H266" s="25" t="s">
        <v>3440</v>
      </c>
      <c r="I266" s="26" t="s">
        <v>19</v>
      </c>
      <c r="J266" s="46">
        <v>27148.32</v>
      </c>
      <c r="K266" s="46">
        <v>50.146900000000002</v>
      </c>
      <c r="L266" s="47">
        <f t="shared" si="32"/>
        <v>541.37583778857709</v>
      </c>
      <c r="M266" s="26">
        <v>60</v>
      </c>
      <c r="N266" s="37">
        <f t="shared" si="34"/>
        <v>452.47199999999998</v>
      </c>
      <c r="O266" s="38">
        <f t="shared" ca="1" si="33"/>
        <v>61</v>
      </c>
      <c r="P266" s="36">
        <f t="shared" ca="1" si="35"/>
        <v>-452.47199999999793</v>
      </c>
      <c r="Q266" s="36">
        <f t="shared" ca="1" si="31"/>
        <v>1</v>
      </c>
      <c r="R266" s="50" t="s">
        <v>3166</v>
      </c>
    </row>
    <row r="267" spans="2:18" s="5" customFormat="1" ht="36" customHeight="1" x14ac:dyDescent="0.25">
      <c r="B267" s="27">
        <v>43465</v>
      </c>
      <c r="C267" s="24" t="s">
        <v>2351</v>
      </c>
      <c r="D267" s="26" t="s">
        <v>3433</v>
      </c>
      <c r="E267" s="26" t="s">
        <v>3441</v>
      </c>
      <c r="F267" s="26" t="s">
        <v>3442</v>
      </c>
      <c r="G267" s="468" t="s">
        <v>3443</v>
      </c>
      <c r="H267" s="25" t="s">
        <v>3444</v>
      </c>
      <c r="I267" s="26" t="s">
        <v>19</v>
      </c>
      <c r="J267" s="46">
        <f>15973.22/3</f>
        <v>5324.4066666666668</v>
      </c>
      <c r="K267" s="46">
        <v>50.146900000000002</v>
      </c>
      <c r="L267" s="47">
        <f t="shared" si="32"/>
        <v>106.17618769388868</v>
      </c>
      <c r="M267" s="26">
        <v>60</v>
      </c>
      <c r="N267" s="37">
        <f t="shared" si="34"/>
        <v>88.740111111111119</v>
      </c>
      <c r="O267" s="38">
        <f t="shared" ca="1" si="33"/>
        <v>61</v>
      </c>
      <c r="P267" s="36">
        <f t="shared" ca="1" si="35"/>
        <v>-88.740111111111219</v>
      </c>
      <c r="Q267" s="36">
        <f t="shared" ca="1" si="31"/>
        <v>1</v>
      </c>
      <c r="R267" s="50" t="s">
        <v>3166</v>
      </c>
    </row>
    <row r="268" spans="2:18" s="5" customFormat="1" ht="39" customHeight="1" x14ac:dyDescent="0.25">
      <c r="B268" s="27">
        <v>43465</v>
      </c>
      <c r="C268" s="24" t="s">
        <v>2351</v>
      </c>
      <c r="D268" s="26" t="s">
        <v>3433</v>
      </c>
      <c r="E268" s="26" t="s">
        <v>3445</v>
      </c>
      <c r="F268" s="26" t="s">
        <v>3442</v>
      </c>
      <c r="G268" s="468" t="s">
        <v>3446</v>
      </c>
      <c r="H268" s="25" t="s">
        <v>3447</v>
      </c>
      <c r="I268" s="26" t="s">
        <v>19</v>
      </c>
      <c r="J268" s="46">
        <f>15973.22/3</f>
        <v>5324.4066666666668</v>
      </c>
      <c r="K268" s="46">
        <v>50.146900000000002</v>
      </c>
      <c r="L268" s="47">
        <f t="shared" si="32"/>
        <v>106.17618769388868</v>
      </c>
      <c r="M268" s="26">
        <v>60</v>
      </c>
      <c r="N268" s="37">
        <f t="shared" si="34"/>
        <v>88.740111111111119</v>
      </c>
      <c r="O268" s="38">
        <f t="shared" ca="1" si="33"/>
        <v>61</v>
      </c>
      <c r="P268" s="36">
        <f t="shared" ca="1" si="35"/>
        <v>-88.740111111111219</v>
      </c>
      <c r="Q268" s="36">
        <f t="shared" ca="1" si="31"/>
        <v>1</v>
      </c>
      <c r="R268" s="50" t="s">
        <v>3166</v>
      </c>
    </row>
    <row r="269" spans="2:18" s="5" customFormat="1" ht="33.75" customHeight="1" x14ac:dyDescent="0.25">
      <c r="B269" s="27">
        <v>43465</v>
      </c>
      <c r="C269" s="24" t="s">
        <v>2351</v>
      </c>
      <c r="D269" s="26" t="s">
        <v>3433</v>
      </c>
      <c r="E269" s="26" t="s">
        <v>3448</v>
      </c>
      <c r="F269" s="26" t="s">
        <v>3442</v>
      </c>
      <c r="G269" s="468" t="s">
        <v>3449</v>
      </c>
      <c r="H269" s="25" t="s">
        <v>3450</v>
      </c>
      <c r="I269" s="26" t="s">
        <v>19</v>
      </c>
      <c r="J269" s="46">
        <f>15973.22/3</f>
        <v>5324.4066666666668</v>
      </c>
      <c r="K269" s="46">
        <v>50.146900000000002</v>
      </c>
      <c r="L269" s="47">
        <f t="shared" si="32"/>
        <v>106.17618769388868</v>
      </c>
      <c r="M269" s="26">
        <v>60</v>
      </c>
      <c r="N269" s="37">
        <f t="shared" si="34"/>
        <v>88.740111111111119</v>
      </c>
      <c r="O269" s="38">
        <f t="shared" ca="1" si="33"/>
        <v>61</v>
      </c>
      <c r="P269" s="36">
        <f t="shared" ca="1" si="35"/>
        <v>-88.740111111111219</v>
      </c>
      <c r="Q269" s="36">
        <f t="shared" ca="1" si="31"/>
        <v>1</v>
      </c>
      <c r="R269" s="50" t="s">
        <v>3166</v>
      </c>
    </row>
    <row r="270" spans="2:18" s="5" customFormat="1" ht="63" customHeight="1" x14ac:dyDescent="0.25">
      <c r="B270" s="27">
        <v>43613</v>
      </c>
      <c r="C270" s="24" t="s">
        <v>2351</v>
      </c>
      <c r="D270" s="26" t="s">
        <v>3451</v>
      </c>
      <c r="E270" s="26" t="s">
        <v>3452</v>
      </c>
      <c r="F270" s="26" t="s">
        <v>3453</v>
      </c>
      <c r="G270" s="26" t="s">
        <v>3454</v>
      </c>
      <c r="H270" s="26" t="s">
        <v>3455</v>
      </c>
      <c r="I270" s="26" t="s">
        <v>19</v>
      </c>
      <c r="J270" s="32">
        <v>132913.64000000001</v>
      </c>
      <c r="K270" s="32">
        <v>50.472099999999998</v>
      </c>
      <c r="L270" s="33">
        <f t="shared" si="32"/>
        <v>2633.4081601518465</v>
      </c>
      <c r="M270" s="26">
        <v>36</v>
      </c>
      <c r="N270" s="37">
        <f t="shared" si="34"/>
        <v>3692.0455555555559</v>
      </c>
      <c r="O270" s="38">
        <f t="shared" ca="1" si="33"/>
        <v>56</v>
      </c>
      <c r="P270" s="36">
        <f t="shared" ca="1" si="35"/>
        <v>-73840.911111111112</v>
      </c>
      <c r="Q270" s="36">
        <f t="shared" ca="1" si="31"/>
        <v>1</v>
      </c>
      <c r="R270" s="50" t="s">
        <v>2529</v>
      </c>
    </row>
    <row r="271" spans="2:18" s="5" customFormat="1" ht="39" customHeight="1" x14ac:dyDescent="0.25">
      <c r="B271" s="27">
        <v>43613</v>
      </c>
      <c r="C271" s="24" t="s">
        <v>2351</v>
      </c>
      <c r="D271" s="26" t="s">
        <v>3456</v>
      </c>
      <c r="E271" s="26" t="s">
        <v>3457</v>
      </c>
      <c r="F271" s="26" t="s">
        <v>3458</v>
      </c>
      <c r="G271" s="26" t="s">
        <v>3459</v>
      </c>
      <c r="H271" s="26" t="s">
        <v>3460</v>
      </c>
      <c r="I271" s="26" t="s">
        <v>19</v>
      </c>
      <c r="J271" s="32">
        <v>29865</v>
      </c>
      <c r="K271" s="32">
        <v>50.472099999999998</v>
      </c>
      <c r="L271" s="33">
        <f t="shared" si="32"/>
        <v>591.71304542509631</v>
      </c>
      <c r="M271" s="26">
        <v>36</v>
      </c>
      <c r="N271" s="37">
        <f t="shared" si="34"/>
        <v>829.58333333333337</v>
      </c>
      <c r="O271" s="38">
        <f t="shared" ca="1" si="33"/>
        <v>56</v>
      </c>
      <c r="P271" s="36">
        <f t="shared" ca="1" si="35"/>
        <v>-16591.666666666672</v>
      </c>
      <c r="Q271" s="36">
        <f t="shared" ca="1" si="31"/>
        <v>1</v>
      </c>
      <c r="R271" s="50" t="s">
        <v>370</v>
      </c>
    </row>
    <row r="272" spans="2:18" s="5" customFormat="1" ht="39.75" customHeight="1" x14ac:dyDescent="0.25">
      <c r="B272" s="27">
        <v>43613</v>
      </c>
      <c r="C272" s="24" t="s">
        <v>2351</v>
      </c>
      <c r="D272" s="26" t="s">
        <v>3456</v>
      </c>
      <c r="E272" s="26" t="s">
        <v>3461</v>
      </c>
      <c r="F272" s="26" t="s">
        <v>3458</v>
      </c>
      <c r="G272" s="26" t="s">
        <v>3462</v>
      </c>
      <c r="H272" s="26" t="s">
        <v>3463</v>
      </c>
      <c r="I272" s="26" t="s">
        <v>19</v>
      </c>
      <c r="J272" s="32">
        <v>29865</v>
      </c>
      <c r="K272" s="32">
        <v>50.472099999999998</v>
      </c>
      <c r="L272" s="33">
        <f t="shared" si="32"/>
        <v>591.71304542509631</v>
      </c>
      <c r="M272" s="26">
        <v>36</v>
      </c>
      <c r="N272" s="37">
        <f t="shared" si="34"/>
        <v>829.58333333333337</v>
      </c>
      <c r="O272" s="38">
        <f t="shared" ca="1" si="33"/>
        <v>56</v>
      </c>
      <c r="P272" s="36">
        <f t="shared" ca="1" si="35"/>
        <v>-16591.666666666672</v>
      </c>
      <c r="Q272" s="36">
        <f t="shared" ca="1" si="31"/>
        <v>1</v>
      </c>
      <c r="R272" s="50" t="s">
        <v>370</v>
      </c>
    </row>
    <row r="273" spans="2:18" s="5" customFormat="1" ht="55.5" customHeight="1" x14ac:dyDescent="0.25">
      <c r="B273" s="27">
        <v>43613</v>
      </c>
      <c r="C273" s="24" t="s">
        <v>2351</v>
      </c>
      <c r="D273" s="26" t="s">
        <v>3456</v>
      </c>
      <c r="E273" s="26" t="s">
        <v>3464</v>
      </c>
      <c r="F273" s="26" t="s">
        <v>3458</v>
      </c>
      <c r="G273" s="26" t="s">
        <v>3465</v>
      </c>
      <c r="H273" s="26" t="s">
        <v>3466</v>
      </c>
      <c r="I273" s="26" t="s">
        <v>19</v>
      </c>
      <c r="J273" s="32">
        <v>29865</v>
      </c>
      <c r="K273" s="32">
        <v>50.472099999999998</v>
      </c>
      <c r="L273" s="33">
        <f t="shared" si="32"/>
        <v>591.71304542509631</v>
      </c>
      <c r="M273" s="26">
        <v>36</v>
      </c>
      <c r="N273" s="37">
        <f t="shared" si="34"/>
        <v>829.58333333333337</v>
      </c>
      <c r="O273" s="38">
        <f t="shared" ca="1" si="33"/>
        <v>56</v>
      </c>
      <c r="P273" s="36">
        <f t="shared" ca="1" si="35"/>
        <v>-16591.666666666672</v>
      </c>
      <c r="Q273" s="36">
        <f t="shared" ca="1" si="31"/>
        <v>1</v>
      </c>
      <c r="R273" s="50" t="s">
        <v>370</v>
      </c>
    </row>
    <row r="274" spans="2:18" s="5" customFormat="1" ht="44.25" customHeight="1" x14ac:dyDescent="0.25">
      <c r="B274" s="27">
        <v>43613</v>
      </c>
      <c r="C274" s="24" t="s">
        <v>2351</v>
      </c>
      <c r="D274" s="26" t="s">
        <v>3456</v>
      </c>
      <c r="E274" s="26" t="s">
        <v>3467</v>
      </c>
      <c r="F274" s="26" t="s">
        <v>3468</v>
      </c>
      <c r="G274" s="26" t="s">
        <v>3469</v>
      </c>
      <c r="H274" s="26" t="s">
        <v>2420</v>
      </c>
      <c r="I274" s="26" t="s">
        <v>19</v>
      </c>
      <c r="J274" s="32">
        <f>23389.83+4210.17</f>
        <v>27600</v>
      </c>
      <c r="K274" s="32">
        <v>50.472099999999998</v>
      </c>
      <c r="L274" s="33">
        <f t="shared" si="32"/>
        <v>546.83676724368513</v>
      </c>
      <c r="M274" s="26">
        <v>36</v>
      </c>
      <c r="N274" s="37">
        <f t="shared" si="34"/>
        <v>766.66666666666663</v>
      </c>
      <c r="O274" s="38">
        <f t="shared" ca="1" si="33"/>
        <v>56</v>
      </c>
      <c r="P274" s="36">
        <f t="shared" ca="1" si="35"/>
        <v>-15333.333333333328</v>
      </c>
      <c r="Q274" s="36">
        <f t="shared" ca="1" si="31"/>
        <v>1</v>
      </c>
      <c r="R274" s="50" t="s">
        <v>370</v>
      </c>
    </row>
    <row r="275" spans="2:18" s="5" customFormat="1" ht="36" customHeight="1" x14ac:dyDescent="0.25">
      <c r="B275" s="27">
        <v>43613</v>
      </c>
      <c r="C275" s="24" t="s">
        <v>2351</v>
      </c>
      <c r="D275" s="26" t="s">
        <v>3456</v>
      </c>
      <c r="E275" s="26" t="s">
        <v>3470</v>
      </c>
      <c r="F275" s="26" t="s">
        <v>3468</v>
      </c>
      <c r="G275" s="26" t="s">
        <v>3471</v>
      </c>
      <c r="H275" s="26" t="s">
        <v>3472</v>
      </c>
      <c r="I275" s="26" t="s">
        <v>19</v>
      </c>
      <c r="J275" s="32">
        <f>23389.83+4210.17</f>
        <v>27600</v>
      </c>
      <c r="K275" s="32">
        <v>50.472099999999998</v>
      </c>
      <c r="L275" s="33">
        <f t="shared" si="32"/>
        <v>546.83676724368513</v>
      </c>
      <c r="M275" s="26">
        <v>36</v>
      </c>
      <c r="N275" s="37">
        <f t="shared" si="34"/>
        <v>766.66666666666663</v>
      </c>
      <c r="O275" s="38">
        <f t="shared" ca="1" si="33"/>
        <v>56</v>
      </c>
      <c r="P275" s="36">
        <f t="shared" ca="1" si="35"/>
        <v>-15333.333333333328</v>
      </c>
      <c r="Q275" s="36">
        <f t="shared" ca="1" si="31"/>
        <v>1</v>
      </c>
      <c r="R275" s="50" t="s">
        <v>370</v>
      </c>
    </row>
    <row r="276" spans="2:18" s="5" customFormat="1" ht="49.5" customHeight="1" x14ac:dyDescent="0.25">
      <c r="B276" s="27">
        <v>43625</v>
      </c>
      <c r="C276" s="24" t="s">
        <v>2351</v>
      </c>
      <c r="D276" s="26" t="s">
        <v>3473</v>
      </c>
      <c r="E276" s="26" t="s">
        <v>3474</v>
      </c>
      <c r="F276" s="26" t="s">
        <v>3475</v>
      </c>
      <c r="G276" s="26" t="s">
        <v>3476</v>
      </c>
      <c r="H276" s="26" t="s">
        <v>3477</v>
      </c>
      <c r="I276" s="26" t="s">
        <v>19</v>
      </c>
      <c r="J276" s="32">
        <v>27677.68</v>
      </c>
      <c r="K276" s="32">
        <v>50.531500000000001</v>
      </c>
      <c r="L276" s="33">
        <f t="shared" si="32"/>
        <v>547.73121716157243</v>
      </c>
      <c r="M276" s="26">
        <v>36</v>
      </c>
      <c r="N276" s="37">
        <f t="shared" si="34"/>
        <v>768.82444444444445</v>
      </c>
      <c r="O276" s="38">
        <f t="shared" ca="1" si="33"/>
        <v>56</v>
      </c>
      <c r="P276" s="36">
        <f t="shared" ca="1" si="35"/>
        <v>-15376.488888888889</v>
      </c>
      <c r="Q276" s="36">
        <f t="shared" ca="1" si="31"/>
        <v>1</v>
      </c>
      <c r="R276" s="50" t="s">
        <v>2529</v>
      </c>
    </row>
    <row r="277" spans="2:18" s="5" customFormat="1" ht="46.9" customHeight="1" x14ac:dyDescent="0.25">
      <c r="B277" s="27">
        <v>43648</v>
      </c>
      <c r="C277" s="24" t="s">
        <v>2351</v>
      </c>
      <c r="D277" s="26" t="s">
        <v>3478</v>
      </c>
      <c r="E277" s="26" t="s">
        <v>3479</v>
      </c>
      <c r="F277" s="26" t="s">
        <v>3480</v>
      </c>
      <c r="G277" s="26">
        <v>100126020</v>
      </c>
      <c r="H277" s="26" t="s">
        <v>3481</v>
      </c>
      <c r="I277" s="26" t="s">
        <v>19</v>
      </c>
      <c r="J277" s="32">
        <v>14500.01</v>
      </c>
      <c r="K277" s="32">
        <v>50.703099999999999</v>
      </c>
      <c r="L277" s="33">
        <f t="shared" si="32"/>
        <v>285.97876658429169</v>
      </c>
      <c r="M277" s="26">
        <v>36</v>
      </c>
      <c r="N277" s="37">
        <f t="shared" si="34"/>
        <v>402.77805555555557</v>
      </c>
      <c r="O277" s="38">
        <f t="shared" ca="1" si="33"/>
        <v>55</v>
      </c>
      <c r="P277" s="36">
        <f t="shared" ca="1" si="35"/>
        <v>-7652.7830555555574</v>
      </c>
      <c r="Q277" s="36">
        <f t="shared" ca="1" si="31"/>
        <v>1</v>
      </c>
      <c r="R277" s="50" t="s">
        <v>1630</v>
      </c>
    </row>
    <row r="278" spans="2:18" s="5" customFormat="1" ht="46.9" customHeight="1" x14ac:dyDescent="0.25">
      <c r="B278" s="27">
        <v>43648</v>
      </c>
      <c r="C278" s="24" t="s">
        <v>2351</v>
      </c>
      <c r="D278" s="26" t="s">
        <v>3478</v>
      </c>
      <c r="E278" s="26" t="s">
        <v>3482</v>
      </c>
      <c r="F278" s="26" t="s">
        <v>3483</v>
      </c>
      <c r="G278" s="26" t="s">
        <v>3484</v>
      </c>
      <c r="H278" s="26" t="s">
        <v>3481</v>
      </c>
      <c r="I278" s="26" t="s">
        <v>19</v>
      </c>
      <c r="J278" s="32">
        <v>5200</v>
      </c>
      <c r="K278" s="32">
        <v>50.703099999999999</v>
      </c>
      <c r="L278" s="33">
        <f t="shared" si="32"/>
        <v>102.55783176965511</v>
      </c>
      <c r="M278" s="26">
        <v>36</v>
      </c>
      <c r="N278" s="37">
        <f t="shared" si="34"/>
        <v>144.44444444444446</v>
      </c>
      <c r="O278" s="38">
        <f t="shared" ca="1" si="33"/>
        <v>55</v>
      </c>
      <c r="P278" s="36">
        <f t="shared" ca="1" si="35"/>
        <v>-2744.4444444444453</v>
      </c>
      <c r="Q278" s="36">
        <f t="shared" ca="1" si="31"/>
        <v>1</v>
      </c>
      <c r="R278" s="50" t="s">
        <v>1630</v>
      </c>
    </row>
    <row r="279" spans="2:18" s="5" customFormat="1" ht="46.9" customHeight="1" x14ac:dyDescent="0.25">
      <c r="B279" s="27">
        <v>43648</v>
      </c>
      <c r="C279" s="24" t="s">
        <v>2351</v>
      </c>
      <c r="D279" s="26" t="s">
        <v>3478</v>
      </c>
      <c r="E279" s="26" t="s">
        <v>3485</v>
      </c>
      <c r="F279" s="26" t="s">
        <v>3486</v>
      </c>
      <c r="G279" s="26" t="s">
        <v>3487</v>
      </c>
      <c r="H279" s="26" t="s">
        <v>3488</v>
      </c>
      <c r="I279" s="26" t="s">
        <v>19</v>
      </c>
      <c r="J279" s="32">
        <v>34500</v>
      </c>
      <c r="K279" s="32">
        <v>50.703099999999999</v>
      </c>
      <c r="L279" s="33">
        <f t="shared" si="32"/>
        <v>680.43176847175027</v>
      </c>
      <c r="M279" s="26">
        <v>36</v>
      </c>
      <c r="N279" s="37">
        <f t="shared" si="34"/>
        <v>958.33333333333337</v>
      </c>
      <c r="O279" s="38">
        <f t="shared" ca="1" si="33"/>
        <v>55</v>
      </c>
      <c r="P279" s="36">
        <f t="shared" ca="1" si="35"/>
        <v>-18208.333333333336</v>
      </c>
      <c r="Q279" s="36">
        <f t="shared" ca="1" si="31"/>
        <v>1</v>
      </c>
      <c r="R279" s="50" t="s">
        <v>1630</v>
      </c>
    </row>
    <row r="280" spans="2:18" s="5" customFormat="1" ht="52.5" customHeight="1" x14ac:dyDescent="0.25">
      <c r="B280" s="27">
        <v>43648</v>
      </c>
      <c r="C280" s="24" t="s">
        <v>2351</v>
      </c>
      <c r="D280" s="26" t="s">
        <v>3478</v>
      </c>
      <c r="E280" s="26" t="s">
        <v>3489</v>
      </c>
      <c r="F280" s="26" t="s">
        <v>3486</v>
      </c>
      <c r="G280" s="26" t="s">
        <v>3490</v>
      </c>
      <c r="H280" s="26" t="s">
        <v>3491</v>
      </c>
      <c r="I280" s="26" t="s">
        <v>19</v>
      </c>
      <c r="J280" s="32">
        <v>34500</v>
      </c>
      <c r="K280" s="32">
        <v>50.703099999999999</v>
      </c>
      <c r="L280" s="33">
        <f t="shared" si="32"/>
        <v>680.43176847175027</v>
      </c>
      <c r="M280" s="26">
        <v>36</v>
      </c>
      <c r="N280" s="37">
        <f t="shared" si="34"/>
        <v>958.33333333333337</v>
      </c>
      <c r="O280" s="38">
        <f t="shared" ca="1" si="33"/>
        <v>55</v>
      </c>
      <c r="P280" s="36">
        <f t="shared" ca="1" si="35"/>
        <v>-18208.333333333336</v>
      </c>
      <c r="Q280" s="36">
        <f t="shared" ca="1" si="31"/>
        <v>1</v>
      </c>
      <c r="R280" s="50" t="s">
        <v>1630</v>
      </c>
    </row>
    <row r="281" spans="2:18" s="5" customFormat="1" ht="46.9" customHeight="1" x14ac:dyDescent="0.25">
      <c r="B281" s="27">
        <v>43648</v>
      </c>
      <c r="C281" s="24" t="s">
        <v>2351</v>
      </c>
      <c r="D281" s="26" t="s">
        <v>3478</v>
      </c>
      <c r="E281" s="26" t="s">
        <v>3492</v>
      </c>
      <c r="F281" s="26" t="s">
        <v>3493</v>
      </c>
      <c r="G281" s="26" t="s">
        <v>3494</v>
      </c>
      <c r="H281" s="26" t="s">
        <v>1136</v>
      </c>
      <c r="I281" s="26" t="s">
        <v>19</v>
      </c>
      <c r="J281" s="32">
        <v>23500</v>
      </c>
      <c r="K281" s="32">
        <v>50.703099999999999</v>
      </c>
      <c r="L281" s="33">
        <f t="shared" si="32"/>
        <v>463.48250895901828</v>
      </c>
      <c r="M281" s="26">
        <v>36</v>
      </c>
      <c r="N281" s="37">
        <f t="shared" si="34"/>
        <v>652.77777777777783</v>
      </c>
      <c r="O281" s="38">
        <f t="shared" ca="1" si="33"/>
        <v>55</v>
      </c>
      <c r="P281" s="36">
        <f t="shared" ca="1" si="35"/>
        <v>-12402.777777777781</v>
      </c>
      <c r="Q281" s="36">
        <f t="shared" ca="1" si="31"/>
        <v>1</v>
      </c>
      <c r="R281" s="50" t="s">
        <v>1630</v>
      </c>
    </row>
    <row r="282" spans="2:18" s="5" customFormat="1" ht="46.9" customHeight="1" x14ac:dyDescent="0.25">
      <c r="B282" s="27">
        <v>43713</v>
      </c>
      <c r="C282" s="24" t="s">
        <v>2351</v>
      </c>
      <c r="D282" s="26" t="s">
        <v>3495</v>
      </c>
      <c r="E282" s="26" t="s">
        <v>3496</v>
      </c>
      <c r="F282" s="26" t="s">
        <v>3497</v>
      </c>
      <c r="G282" s="26" t="s">
        <v>28</v>
      </c>
      <c r="H282" s="26" t="s">
        <v>3400</v>
      </c>
      <c r="I282" s="26" t="s">
        <v>3401</v>
      </c>
      <c r="J282" s="32">
        <v>13540.5</v>
      </c>
      <c r="K282" s="32">
        <v>51.201700000000002</v>
      </c>
      <c r="L282" s="33">
        <f t="shared" si="32"/>
        <v>264.45410992213147</v>
      </c>
      <c r="M282" s="26">
        <v>36</v>
      </c>
      <c r="N282" s="37">
        <f t="shared" si="34"/>
        <v>376.125</v>
      </c>
      <c r="O282" s="38">
        <f t="shared" ca="1" si="33"/>
        <v>53</v>
      </c>
      <c r="P282" s="36">
        <f t="shared" ca="1" si="35"/>
        <v>-6394.125</v>
      </c>
      <c r="Q282" s="36">
        <f t="shared" ca="1" si="31"/>
        <v>1</v>
      </c>
      <c r="R282" s="50" t="s">
        <v>3498</v>
      </c>
    </row>
    <row r="283" spans="2:18" s="5" customFormat="1" ht="46.9" customHeight="1" x14ac:dyDescent="0.25">
      <c r="B283" s="27">
        <v>43713</v>
      </c>
      <c r="C283" s="24" t="s">
        <v>2351</v>
      </c>
      <c r="D283" s="26" t="s">
        <v>3495</v>
      </c>
      <c r="E283" s="26" t="s">
        <v>3499</v>
      </c>
      <c r="F283" s="26" t="s">
        <v>3500</v>
      </c>
      <c r="G283" s="26" t="s">
        <v>28</v>
      </c>
      <c r="H283" s="26" t="s">
        <v>3400</v>
      </c>
      <c r="I283" s="26" t="s">
        <v>3401</v>
      </c>
      <c r="J283" s="32">
        <v>13365.27</v>
      </c>
      <c r="K283" s="32">
        <v>51.201700000000002</v>
      </c>
      <c r="L283" s="33">
        <f t="shared" si="32"/>
        <v>261.03176261725685</v>
      </c>
      <c r="M283" s="26">
        <v>36</v>
      </c>
      <c r="N283" s="37">
        <f t="shared" si="34"/>
        <v>371.25749999999999</v>
      </c>
      <c r="O283" s="38">
        <f t="shared" ca="1" si="33"/>
        <v>53</v>
      </c>
      <c r="P283" s="36">
        <f t="shared" ca="1" si="35"/>
        <v>-6311.3774999999987</v>
      </c>
      <c r="Q283" s="36">
        <f t="shared" ca="1" si="31"/>
        <v>1</v>
      </c>
      <c r="R283" s="50" t="s">
        <v>3498</v>
      </c>
    </row>
    <row r="284" spans="2:18" s="5" customFormat="1" ht="38.25" customHeight="1" x14ac:dyDescent="0.25">
      <c r="B284" s="27">
        <v>43747</v>
      </c>
      <c r="C284" s="24" t="s">
        <v>2351</v>
      </c>
      <c r="D284" s="26" t="s">
        <v>3501</v>
      </c>
      <c r="E284" s="26" t="s">
        <v>3504</v>
      </c>
      <c r="F284" s="26" t="s">
        <v>3502</v>
      </c>
      <c r="G284" s="26" t="s">
        <v>28</v>
      </c>
      <c r="H284" s="26" t="s">
        <v>3505</v>
      </c>
      <c r="I284" s="26" t="s">
        <v>19</v>
      </c>
      <c r="J284" s="32">
        <v>6920.7</v>
      </c>
      <c r="K284" s="32">
        <v>52.664200000000001</v>
      </c>
      <c r="L284" s="33">
        <f t="shared" si="32"/>
        <v>131.41185093479061</v>
      </c>
      <c r="M284" s="26">
        <v>36</v>
      </c>
      <c r="N284" s="37">
        <f t="shared" si="34"/>
        <v>192.24166666666667</v>
      </c>
      <c r="O284" s="38">
        <f t="shared" ca="1" si="33"/>
        <v>52</v>
      </c>
      <c r="P284" s="36">
        <f t="shared" ca="1" si="35"/>
        <v>-3075.8666666666677</v>
      </c>
      <c r="Q284" s="36">
        <f t="shared" ca="1" si="31"/>
        <v>1</v>
      </c>
      <c r="R284" s="50" t="s">
        <v>3503</v>
      </c>
    </row>
    <row r="285" spans="2:18" s="5" customFormat="1" ht="46.9" customHeight="1" x14ac:dyDescent="0.25">
      <c r="B285" s="27">
        <v>43747</v>
      </c>
      <c r="C285" s="24" t="s">
        <v>2351</v>
      </c>
      <c r="D285" s="26" t="s">
        <v>3501</v>
      </c>
      <c r="E285" s="26" t="s">
        <v>3506</v>
      </c>
      <c r="F285" s="26" t="s">
        <v>3502</v>
      </c>
      <c r="G285" s="26" t="s">
        <v>28</v>
      </c>
      <c r="H285" s="26" t="s">
        <v>2991</v>
      </c>
      <c r="I285" s="26" t="s">
        <v>19</v>
      </c>
      <c r="J285" s="32">
        <v>6920.7</v>
      </c>
      <c r="K285" s="32">
        <v>52.664200000000001</v>
      </c>
      <c r="L285" s="33">
        <f t="shared" si="32"/>
        <v>131.41185093479061</v>
      </c>
      <c r="M285" s="26">
        <v>36</v>
      </c>
      <c r="N285" s="37">
        <f t="shared" si="34"/>
        <v>192.24166666666667</v>
      </c>
      <c r="O285" s="38">
        <f t="shared" ca="1" si="33"/>
        <v>52</v>
      </c>
      <c r="P285" s="36">
        <f t="shared" ca="1" si="35"/>
        <v>-3075.8666666666677</v>
      </c>
      <c r="Q285" s="36">
        <f t="shared" ca="1" si="31"/>
        <v>1</v>
      </c>
      <c r="R285" s="50" t="s">
        <v>3503</v>
      </c>
    </row>
    <row r="286" spans="2:18" s="5" customFormat="1" ht="43.5" customHeight="1" x14ac:dyDescent="0.25">
      <c r="B286" s="27">
        <v>43747</v>
      </c>
      <c r="C286" s="24" t="s">
        <v>2351</v>
      </c>
      <c r="D286" s="26" t="s">
        <v>3501</v>
      </c>
      <c r="E286" s="26" t="s">
        <v>3507</v>
      </c>
      <c r="F286" s="26" t="s">
        <v>3508</v>
      </c>
      <c r="G286" s="26" t="s">
        <v>28</v>
      </c>
      <c r="H286" s="26" t="s">
        <v>3509</v>
      </c>
      <c r="I286" s="26" t="s">
        <v>19</v>
      </c>
      <c r="J286" s="32">
        <v>5575.5</v>
      </c>
      <c r="K286" s="32">
        <v>52.664200000000001</v>
      </c>
      <c r="L286" s="33">
        <f t="shared" si="32"/>
        <v>105.86888246664716</v>
      </c>
      <c r="M286" s="26">
        <v>36</v>
      </c>
      <c r="N286" s="37">
        <f t="shared" si="34"/>
        <v>154.875</v>
      </c>
      <c r="O286" s="38">
        <f t="shared" ca="1" si="33"/>
        <v>52</v>
      </c>
      <c r="P286" s="36">
        <f t="shared" ca="1" si="35"/>
        <v>-2478</v>
      </c>
      <c r="Q286" s="36">
        <f t="shared" ref="Q286:Q320" ca="1" si="36">IF(P286&lt;1,1,P286)</f>
        <v>1</v>
      </c>
      <c r="R286" s="50" t="s">
        <v>3503</v>
      </c>
    </row>
    <row r="287" spans="2:18" s="5" customFormat="1" ht="46.9" customHeight="1" x14ac:dyDescent="0.25">
      <c r="B287" s="27">
        <v>43747</v>
      </c>
      <c r="C287" s="24" t="s">
        <v>2351</v>
      </c>
      <c r="D287" s="26" t="s">
        <v>3501</v>
      </c>
      <c r="E287" s="26" t="s">
        <v>3510</v>
      </c>
      <c r="F287" s="26" t="s">
        <v>3508</v>
      </c>
      <c r="G287" s="26" t="s">
        <v>28</v>
      </c>
      <c r="H287" s="26" t="s">
        <v>3509</v>
      </c>
      <c r="I287" s="26" t="s">
        <v>19</v>
      </c>
      <c r="J287" s="32">
        <v>5575.5</v>
      </c>
      <c r="K287" s="32">
        <v>52.664200000000001</v>
      </c>
      <c r="L287" s="33">
        <f t="shared" si="32"/>
        <v>105.86888246664716</v>
      </c>
      <c r="M287" s="26">
        <v>36</v>
      </c>
      <c r="N287" s="37">
        <f t="shared" si="34"/>
        <v>154.875</v>
      </c>
      <c r="O287" s="38">
        <f t="shared" ca="1" si="33"/>
        <v>52</v>
      </c>
      <c r="P287" s="36">
        <f t="shared" ca="1" si="35"/>
        <v>-2478</v>
      </c>
      <c r="Q287" s="36">
        <f t="shared" ca="1" si="36"/>
        <v>1</v>
      </c>
      <c r="R287" s="50" t="s">
        <v>3503</v>
      </c>
    </row>
    <row r="288" spans="2:18" s="5" customFormat="1" ht="46.9" customHeight="1" x14ac:dyDescent="0.25">
      <c r="B288" s="27">
        <v>43747</v>
      </c>
      <c r="C288" s="24" t="s">
        <v>2351</v>
      </c>
      <c r="D288" s="26" t="s">
        <v>3501</v>
      </c>
      <c r="E288" s="26" t="s">
        <v>3511</v>
      </c>
      <c r="F288" s="26" t="s">
        <v>3508</v>
      </c>
      <c r="G288" s="26" t="s">
        <v>28</v>
      </c>
      <c r="H288" s="26" t="s">
        <v>3512</v>
      </c>
      <c r="I288" s="26" t="s">
        <v>19</v>
      </c>
      <c r="J288" s="32">
        <v>5575.5</v>
      </c>
      <c r="K288" s="32">
        <v>52.664200000000001</v>
      </c>
      <c r="L288" s="33">
        <f t="shared" si="32"/>
        <v>105.86888246664716</v>
      </c>
      <c r="M288" s="26">
        <v>36</v>
      </c>
      <c r="N288" s="37">
        <f t="shared" si="34"/>
        <v>154.875</v>
      </c>
      <c r="O288" s="38">
        <f t="shared" ca="1" si="33"/>
        <v>52</v>
      </c>
      <c r="P288" s="36">
        <f t="shared" ca="1" si="35"/>
        <v>-2478</v>
      </c>
      <c r="Q288" s="36">
        <f t="shared" ca="1" si="36"/>
        <v>1</v>
      </c>
      <c r="R288" s="50" t="s">
        <v>3503</v>
      </c>
    </row>
    <row r="289" spans="2:18" s="5" customFormat="1" ht="46.9" customHeight="1" x14ac:dyDescent="0.25">
      <c r="B289" s="27">
        <v>43747</v>
      </c>
      <c r="C289" s="24" t="s">
        <v>2351</v>
      </c>
      <c r="D289" s="26" t="s">
        <v>3501</v>
      </c>
      <c r="E289" s="26" t="s">
        <v>3513</v>
      </c>
      <c r="F289" s="26" t="s">
        <v>3508</v>
      </c>
      <c r="G289" s="26" t="s">
        <v>28</v>
      </c>
      <c r="H289" s="26" t="s">
        <v>3512</v>
      </c>
      <c r="I289" s="26" t="s">
        <v>19</v>
      </c>
      <c r="J289" s="32">
        <v>5575.5</v>
      </c>
      <c r="K289" s="32">
        <v>52.664200000000001</v>
      </c>
      <c r="L289" s="33">
        <f t="shared" si="32"/>
        <v>105.86888246664716</v>
      </c>
      <c r="M289" s="26">
        <v>36</v>
      </c>
      <c r="N289" s="37">
        <f t="shared" si="34"/>
        <v>154.875</v>
      </c>
      <c r="O289" s="38">
        <f t="shared" ca="1" si="33"/>
        <v>52</v>
      </c>
      <c r="P289" s="36">
        <f t="shared" ca="1" si="35"/>
        <v>-2478</v>
      </c>
      <c r="Q289" s="36">
        <f t="shared" ca="1" si="36"/>
        <v>1</v>
      </c>
      <c r="R289" s="50" t="s">
        <v>3503</v>
      </c>
    </row>
    <row r="290" spans="2:18" s="5" customFormat="1" ht="38.25" customHeight="1" x14ac:dyDescent="0.25">
      <c r="B290" s="27">
        <v>43747</v>
      </c>
      <c r="C290" s="24" t="s">
        <v>2351</v>
      </c>
      <c r="D290" s="26" t="s">
        <v>3501</v>
      </c>
      <c r="E290" s="26" t="s">
        <v>3514</v>
      </c>
      <c r="F290" s="26" t="s">
        <v>3515</v>
      </c>
      <c r="G290" s="26" t="s">
        <v>28</v>
      </c>
      <c r="H290" s="26" t="s">
        <v>2666</v>
      </c>
      <c r="I290" s="26" t="s">
        <v>19</v>
      </c>
      <c r="J290" s="32">
        <v>12478.5</v>
      </c>
      <c r="K290" s="32">
        <v>52.664200000000001</v>
      </c>
      <c r="L290" s="33">
        <f t="shared" si="32"/>
        <v>236.94464171106748</v>
      </c>
      <c r="M290" s="26">
        <v>36</v>
      </c>
      <c r="N290" s="37">
        <f t="shared" si="34"/>
        <v>346.625</v>
      </c>
      <c r="O290" s="38">
        <f t="shared" ca="1" si="33"/>
        <v>52</v>
      </c>
      <c r="P290" s="36">
        <f t="shared" ca="1" si="35"/>
        <v>-5546</v>
      </c>
      <c r="Q290" s="36">
        <f t="shared" ca="1" si="36"/>
        <v>1</v>
      </c>
      <c r="R290" s="50" t="s">
        <v>3503</v>
      </c>
    </row>
    <row r="291" spans="2:18" s="5" customFormat="1" ht="41.25" customHeight="1" x14ac:dyDescent="0.25">
      <c r="B291" s="27">
        <v>43747</v>
      </c>
      <c r="C291" s="24" t="s">
        <v>2351</v>
      </c>
      <c r="D291" s="26" t="s">
        <v>3501</v>
      </c>
      <c r="E291" s="26" t="s">
        <v>3516</v>
      </c>
      <c r="F291" s="26" t="s">
        <v>3515</v>
      </c>
      <c r="G291" s="26" t="s">
        <v>28</v>
      </c>
      <c r="H291" s="26" t="s">
        <v>3517</v>
      </c>
      <c r="I291" s="26" t="s">
        <v>19</v>
      </c>
      <c r="J291" s="32">
        <v>12478.5</v>
      </c>
      <c r="K291" s="32">
        <v>52.664200000000001</v>
      </c>
      <c r="L291" s="33">
        <f t="shared" si="32"/>
        <v>236.94464171106748</v>
      </c>
      <c r="M291" s="26">
        <v>36</v>
      </c>
      <c r="N291" s="37">
        <f t="shared" si="34"/>
        <v>346.625</v>
      </c>
      <c r="O291" s="38">
        <f t="shared" ca="1" si="33"/>
        <v>52</v>
      </c>
      <c r="P291" s="36">
        <f t="shared" ca="1" si="35"/>
        <v>-5546</v>
      </c>
      <c r="Q291" s="36">
        <f t="shared" ca="1" si="36"/>
        <v>1</v>
      </c>
      <c r="R291" s="50" t="s">
        <v>3503</v>
      </c>
    </row>
    <row r="292" spans="2:18" s="5" customFormat="1" ht="45" customHeight="1" x14ac:dyDescent="0.25">
      <c r="B292" s="27">
        <v>43747</v>
      </c>
      <c r="C292" s="24" t="s">
        <v>2351</v>
      </c>
      <c r="D292" s="26" t="s">
        <v>3501</v>
      </c>
      <c r="E292" s="26" t="s">
        <v>3518</v>
      </c>
      <c r="F292" s="26" t="s">
        <v>3519</v>
      </c>
      <c r="G292" s="26" t="s">
        <v>28</v>
      </c>
      <c r="H292" s="26" t="s">
        <v>3520</v>
      </c>
      <c r="I292" s="26" t="s">
        <v>19</v>
      </c>
      <c r="J292" s="32">
        <v>8850</v>
      </c>
      <c r="K292" s="32">
        <v>52.664200000000001</v>
      </c>
      <c r="L292" s="33">
        <f t="shared" si="32"/>
        <v>168.04584518515423</v>
      </c>
      <c r="M292" s="26">
        <v>36</v>
      </c>
      <c r="N292" s="37">
        <f t="shared" si="34"/>
        <v>245.83333333333334</v>
      </c>
      <c r="O292" s="38">
        <f t="shared" ca="1" si="33"/>
        <v>52</v>
      </c>
      <c r="P292" s="36">
        <f t="shared" ca="1" si="35"/>
        <v>-3933.3333333333339</v>
      </c>
      <c r="Q292" s="36">
        <f t="shared" ca="1" si="36"/>
        <v>1</v>
      </c>
      <c r="R292" s="50" t="s">
        <v>3503</v>
      </c>
    </row>
    <row r="293" spans="2:18" s="5" customFormat="1" ht="42" customHeight="1" x14ac:dyDescent="0.25">
      <c r="B293" s="27">
        <v>43747</v>
      </c>
      <c r="C293" s="24" t="s">
        <v>2351</v>
      </c>
      <c r="D293" s="26" t="s">
        <v>3501</v>
      </c>
      <c r="E293" s="26" t="s">
        <v>3521</v>
      </c>
      <c r="F293" s="26" t="s">
        <v>3519</v>
      </c>
      <c r="G293" s="26" t="s">
        <v>28</v>
      </c>
      <c r="H293" s="26" t="s">
        <v>60</v>
      </c>
      <c r="I293" s="26" t="s">
        <v>19</v>
      </c>
      <c r="J293" s="32">
        <v>8850</v>
      </c>
      <c r="K293" s="32">
        <v>52.664200000000001</v>
      </c>
      <c r="L293" s="33">
        <f t="shared" si="32"/>
        <v>168.04584518515423</v>
      </c>
      <c r="M293" s="26">
        <v>36</v>
      </c>
      <c r="N293" s="37">
        <f t="shared" si="34"/>
        <v>245.83333333333334</v>
      </c>
      <c r="O293" s="38">
        <f t="shared" ca="1" si="33"/>
        <v>52</v>
      </c>
      <c r="P293" s="36">
        <f t="shared" ca="1" si="35"/>
        <v>-3933.3333333333339</v>
      </c>
      <c r="Q293" s="36">
        <f t="shared" ca="1" si="36"/>
        <v>1</v>
      </c>
      <c r="R293" s="50" t="s">
        <v>3503</v>
      </c>
    </row>
    <row r="294" spans="2:18" s="5" customFormat="1" ht="39" customHeight="1" x14ac:dyDescent="0.25">
      <c r="B294" s="27">
        <v>43747</v>
      </c>
      <c r="C294" s="24" t="s">
        <v>2351</v>
      </c>
      <c r="D294" s="26" t="s">
        <v>3501</v>
      </c>
      <c r="E294" s="26" t="s">
        <v>3522</v>
      </c>
      <c r="F294" s="26" t="s">
        <v>3523</v>
      </c>
      <c r="G294" s="26" t="s">
        <v>28</v>
      </c>
      <c r="H294" s="26" t="s">
        <v>2936</v>
      </c>
      <c r="I294" s="26" t="s">
        <v>19</v>
      </c>
      <c r="J294" s="32">
        <v>5664</v>
      </c>
      <c r="K294" s="32">
        <v>52.664200000000001</v>
      </c>
      <c r="L294" s="33">
        <f t="shared" si="32"/>
        <v>107.54934091849871</v>
      </c>
      <c r="M294" s="26">
        <v>36</v>
      </c>
      <c r="N294" s="37">
        <f t="shared" si="34"/>
        <v>157.33333333333334</v>
      </c>
      <c r="O294" s="38">
        <f t="shared" ca="1" si="33"/>
        <v>52</v>
      </c>
      <c r="P294" s="36">
        <f t="shared" ca="1" si="35"/>
        <v>-2517.3333333333339</v>
      </c>
      <c r="Q294" s="36">
        <f t="shared" ca="1" si="36"/>
        <v>1</v>
      </c>
      <c r="R294" s="50" t="s">
        <v>3503</v>
      </c>
    </row>
    <row r="295" spans="2:18" s="5" customFormat="1" ht="51.75" customHeight="1" x14ac:dyDescent="0.25">
      <c r="B295" s="27">
        <v>43747</v>
      </c>
      <c r="C295" s="24" t="s">
        <v>2351</v>
      </c>
      <c r="D295" s="26" t="s">
        <v>3501</v>
      </c>
      <c r="E295" s="26" t="s">
        <v>3524</v>
      </c>
      <c r="F295" s="26" t="s">
        <v>3525</v>
      </c>
      <c r="G295" s="26" t="s">
        <v>28</v>
      </c>
      <c r="H295" s="26" t="s">
        <v>3526</v>
      </c>
      <c r="I295" s="26" t="s">
        <v>19</v>
      </c>
      <c r="J295" s="32">
        <v>5664</v>
      </c>
      <c r="K295" s="32">
        <v>52.664200000000001</v>
      </c>
      <c r="L295" s="33">
        <f t="shared" si="32"/>
        <v>107.54934091849871</v>
      </c>
      <c r="M295" s="26">
        <v>36</v>
      </c>
      <c r="N295" s="37">
        <f t="shared" si="34"/>
        <v>157.33333333333334</v>
      </c>
      <c r="O295" s="38">
        <f t="shared" ca="1" si="33"/>
        <v>52</v>
      </c>
      <c r="P295" s="36">
        <f t="shared" ca="1" si="35"/>
        <v>-2517.3333333333339</v>
      </c>
      <c r="Q295" s="36">
        <f t="shared" ca="1" si="36"/>
        <v>1</v>
      </c>
      <c r="R295" s="50" t="s">
        <v>3503</v>
      </c>
    </row>
    <row r="296" spans="2:18" s="5" customFormat="1" ht="50.25" customHeight="1" x14ac:dyDescent="0.25">
      <c r="B296" s="27">
        <v>43747</v>
      </c>
      <c r="C296" s="24" t="s">
        <v>2351</v>
      </c>
      <c r="D296" s="26" t="s">
        <v>3501</v>
      </c>
      <c r="E296" s="26" t="s">
        <v>3528</v>
      </c>
      <c r="F296" s="26" t="s">
        <v>3525</v>
      </c>
      <c r="G296" s="26" t="s">
        <v>28</v>
      </c>
      <c r="H296" s="26" t="s">
        <v>3529</v>
      </c>
      <c r="I296" s="26" t="s">
        <v>19</v>
      </c>
      <c r="J296" s="32">
        <v>5664</v>
      </c>
      <c r="K296" s="32">
        <v>52.664200000000001</v>
      </c>
      <c r="L296" s="33">
        <f t="shared" ref="L296:L307" si="37">+J296/K296</f>
        <v>107.54934091849871</v>
      </c>
      <c r="M296" s="26">
        <v>36</v>
      </c>
      <c r="N296" s="37">
        <f t="shared" si="34"/>
        <v>157.33333333333334</v>
      </c>
      <c r="O296" s="38">
        <f t="shared" ref="O296:O326" ca="1" si="38">IF(B296&lt;&gt;0,(ROUND((NOW()-B296)/30,0)),0)</f>
        <v>52</v>
      </c>
      <c r="P296" s="36">
        <f t="shared" ca="1" si="35"/>
        <v>-2517.3333333333339</v>
      </c>
      <c r="Q296" s="36">
        <f t="shared" ca="1" si="36"/>
        <v>1</v>
      </c>
      <c r="R296" s="50" t="s">
        <v>3503</v>
      </c>
    </row>
    <row r="297" spans="2:18" s="5" customFormat="1" ht="51.75" customHeight="1" x14ac:dyDescent="0.25">
      <c r="B297" s="27">
        <v>43747</v>
      </c>
      <c r="C297" s="24" t="s">
        <v>2351</v>
      </c>
      <c r="D297" s="26" t="s">
        <v>3501</v>
      </c>
      <c r="E297" s="26" t="s">
        <v>3530</v>
      </c>
      <c r="F297" s="26" t="s">
        <v>3525</v>
      </c>
      <c r="G297" s="26" t="s">
        <v>28</v>
      </c>
      <c r="H297" s="26" t="s">
        <v>3531</v>
      </c>
      <c r="I297" s="26" t="s">
        <v>19</v>
      </c>
      <c r="J297" s="32">
        <v>5664</v>
      </c>
      <c r="K297" s="32">
        <v>52.664200000000001</v>
      </c>
      <c r="L297" s="33">
        <f t="shared" si="37"/>
        <v>107.54934091849871</v>
      </c>
      <c r="M297" s="26">
        <v>36</v>
      </c>
      <c r="N297" s="37">
        <f t="shared" si="34"/>
        <v>157.33333333333334</v>
      </c>
      <c r="O297" s="38">
        <f t="shared" ca="1" si="38"/>
        <v>52</v>
      </c>
      <c r="P297" s="36">
        <f t="shared" ca="1" si="35"/>
        <v>-2517.3333333333339</v>
      </c>
      <c r="Q297" s="36">
        <f t="shared" ca="1" si="36"/>
        <v>1</v>
      </c>
      <c r="R297" s="50" t="s">
        <v>3503</v>
      </c>
    </row>
    <row r="298" spans="2:18" s="5" customFormat="1" ht="51.75" customHeight="1" x14ac:dyDescent="0.25">
      <c r="B298" s="27">
        <v>43747</v>
      </c>
      <c r="C298" s="24" t="s">
        <v>2351</v>
      </c>
      <c r="D298" s="26" t="s">
        <v>3501</v>
      </c>
      <c r="E298" s="26" t="s">
        <v>3532</v>
      </c>
      <c r="F298" s="26" t="s">
        <v>3525</v>
      </c>
      <c r="G298" s="26" t="s">
        <v>28</v>
      </c>
      <c r="H298" s="26" t="s">
        <v>3533</v>
      </c>
      <c r="I298" s="26" t="s">
        <v>19</v>
      </c>
      <c r="J298" s="32">
        <v>5664</v>
      </c>
      <c r="K298" s="32">
        <v>52.664200000000001</v>
      </c>
      <c r="L298" s="33">
        <f t="shared" si="37"/>
        <v>107.54934091849871</v>
      </c>
      <c r="M298" s="26">
        <v>36</v>
      </c>
      <c r="N298" s="37">
        <f t="shared" si="34"/>
        <v>157.33333333333334</v>
      </c>
      <c r="O298" s="38">
        <f t="shared" ca="1" si="38"/>
        <v>52</v>
      </c>
      <c r="P298" s="36">
        <f t="shared" ca="1" si="35"/>
        <v>-2517.3333333333339</v>
      </c>
      <c r="Q298" s="36">
        <f t="shared" ca="1" si="36"/>
        <v>1</v>
      </c>
      <c r="R298" s="50" t="s">
        <v>3503</v>
      </c>
    </row>
    <row r="299" spans="2:18" s="5" customFormat="1" ht="46.9" customHeight="1" x14ac:dyDescent="0.25">
      <c r="B299" s="27">
        <v>43754</v>
      </c>
      <c r="C299" s="24" t="s">
        <v>2351</v>
      </c>
      <c r="D299" s="26" t="s">
        <v>3534</v>
      </c>
      <c r="E299" s="26" t="s">
        <v>3535</v>
      </c>
      <c r="F299" s="26" t="s">
        <v>3536</v>
      </c>
      <c r="G299" s="26" t="s">
        <v>3537</v>
      </c>
      <c r="H299" s="26" t="s">
        <v>3538</v>
      </c>
      <c r="I299" s="26" t="s">
        <v>19</v>
      </c>
      <c r="J299" s="32">
        <f>15192.5/2</f>
        <v>7596.25</v>
      </c>
      <c r="K299" s="32">
        <v>52.710299999999997</v>
      </c>
      <c r="L299" s="33">
        <f t="shared" si="37"/>
        <v>144.11319988692912</v>
      </c>
      <c r="M299" s="26">
        <v>36</v>
      </c>
      <c r="N299" s="37">
        <f t="shared" si="34"/>
        <v>211.00694444444446</v>
      </c>
      <c r="O299" s="38">
        <f t="shared" ca="1" si="38"/>
        <v>52</v>
      </c>
      <c r="P299" s="36">
        <f t="shared" ca="1" si="35"/>
        <v>-3376.1111111111113</v>
      </c>
      <c r="Q299" s="36">
        <f t="shared" ca="1" si="36"/>
        <v>1</v>
      </c>
      <c r="R299" s="50" t="s">
        <v>2906</v>
      </c>
    </row>
    <row r="300" spans="2:18" s="5" customFormat="1" ht="46.9" customHeight="1" x14ac:dyDescent="0.25">
      <c r="B300" s="27">
        <v>43754</v>
      </c>
      <c r="C300" s="24" t="s">
        <v>2351</v>
      </c>
      <c r="D300" s="26" t="s">
        <v>3534</v>
      </c>
      <c r="E300" s="26" t="s">
        <v>3539</v>
      </c>
      <c r="F300" s="26" t="s">
        <v>3536</v>
      </c>
      <c r="G300" s="26" t="s">
        <v>3540</v>
      </c>
      <c r="H300" s="26" t="s">
        <v>60</v>
      </c>
      <c r="I300" s="26" t="s">
        <v>19</v>
      </c>
      <c r="J300" s="32">
        <f>15192.5/2</f>
        <v>7596.25</v>
      </c>
      <c r="K300" s="32">
        <v>52.710299999999997</v>
      </c>
      <c r="L300" s="33">
        <f t="shared" si="37"/>
        <v>144.11319988692912</v>
      </c>
      <c r="M300" s="26">
        <v>36</v>
      </c>
      <c r="N300" s="37">
        <f t="shared" si="34"/>
        <v>211.00694444444446</v>
      </c>
      <c r="O300" s="38">
        <f t="shared" ca="1" si="38"/>
        <v>52</v>
      </c>
      <c r="P300" s="36">
        <f t="shared" ca="1" si="35"/>
        <v>-3376.1111111111113</v>
      </c>
      <c r="Q300" s="36">
        <f t="shared" ca="1" si="36"/>
        <v>1</v>
      </c>
      <c r="R300" s="50" t="s">
        <v>2906</v>
      </c>
    </row>
    <row r="301" spans="2:18" s="5" customFormat="1" ht="46.9" customHeight="1" x14ac:dyDescent="0.25">
      <c r="B301" s="27">
        <v>43754</v>
      </c>
      <c r="C301" s="24" t="s">
        <v>2351</v>
      </c>
      <c r="D301" s="26" t="s">
        <v>3534</v>
      </c>
      <c r="E301" s="26" t="s">
        <v>3541</v>
      </c>
      <c r="F301" s="26" t="s">
        <v>3542</v>
      </c>
      <c r="G301" s="26" t="s">
        <v>3543</v>
      </c>
      <c r="H301" s="26" t="s">
        <v>3538</v>
      </c>
      <c r="I301" s="26" t="s">
        <v>19</v>
      </c>
      <c r="J301" s="32">
        <f t="shared" ref="J301:J306" si="39">30992.7/6</f>
        <v>5165.45</v>
      </c>
      <c r="K301" s="32">
        <v>52.710299999999997</v>
      </c>
      <c r="L301" s="33">
        <f t="shared" si="37"/>
        <v>97.996975923111805</v>
      </c>
      <c r="M301" s="26">
        <v>36</v>
      </c>
      <c r="N301" s="37">
        <f t="shared" si="34"/>
        <v>143.48472222222222</v>
      </c>
      <c r="O301" s="38">
        <f t="shared" ca="1" si="38"/>
        <v>52</v>
      </c>
      <c r="P301" s="36">
        <f t="shared" ca="1" si="35"/>
        <v>-2295.7555555555555</v>
      </c>
      <c r="Q301" s="36">
        <f t="shared" ca="1" si="36"/>
        <v>1</v>
      </c>
      <c r="R301" s="50" t="s">
        <v>2906</v>
      </c>
    </row>
    <row r="302" spans="2:18" s="5" customFormat="1" ht="46.9" customHeight="1" x14ac:dyDescent="0.25">
      <c r="B302" s="27">
        <v>43754</v>
      </c>
      <c r="C302" s="24" t="s">
        <v>2351</v>
      </c>
      <c r="D302" s="26" t="s">
        <v>3534</v>
      </c>
      <c r="E302" s="26" t="s">
        <v>3544</v>
      </c>
      <c r="F302" s="26" t="s">
        <v>3542</v>
      </c>
      <c r="G302" s="26" t="s">
        <v>3545</v>
      </c>
      <c r="H302" s="26" t="s">
        <v>60</v>
      </c>
      <c r="I302" s="26" t="s">
        <v>19</v>
      </c>
      <c r="J302" s="32">
        <f t="shared" si="39"/>
        <v>5165.45</v>
      </c>
      <c r="K302" s="32">
        <v>52.710299999999997</v>
      </c>
      <c r="L302" s="33">
        <f t="shared" si="37"/>
        <v>97.996975923111805</v>
      </c>
      <c r="M302" s="26">
        <v>36</v>
      </c>
      <c r="N302" s="37">
        <f t="shared" si="34"/>
        <v>143.48472222222222</v>
      </c>
      <c r="O302" s="38">
        <f t="shared" ca="1" si="38"/>
        <v>52</v>
      </c>
      <c r="P302" s="36">
        <f t="shared" ca="1" si="35"/>
        <v>-2295.7555555555555</v>
      </c>
      <c r="Q302" s="36">
        <f t="shared" ca="1" si="36"/>
        <v>1</v>
      </c>
      <c r="R302" s="50" t="s">
        <v>2906</v>
      </c>
    </row>
    <row r="303" spans="2:18" s="5" customFormat="1" ht="46.9" customHeight="1" x14ac:dyDescent="0.25">
      <c r="B303" s="27">
        <v>43754</v>
      </c>
      <c r="C303" s="24" t="s">
        <v>2351</v>
      </c>
      <c r="D303" s="26" t="s">
        <v>3534</v>
      </c>
      <c r="E303" s="26" t="s">
        <v>3546</v>
      </c>
      <c r="F303" s="26" t="s">
        <v>3542</v>
      </c>
      <c r="G303" s="26" t="s">
        <v>3547</v>
      </c>
      <c r="H303" s="26" t="s">
        <v>3538</v>
      </c>
      <c r="I303" s="26" t="s">
        <v>19</v>
      </c>
      <c r="J303" s="32">
        <f t="shared" si="39"/>
        <v>5165.45</v>
      </c>
      <c r="K303" s="32">
        <v>52.710299999999997</v>
      </c>
      <c r="L303" s="33">
        <f t="shared" si="37"/>
        <v>97.996975923111805</v>
      </c>
      <c r="M303" s="26">
        <v>36</v>
      </c>
      <c r="N303" s="37">
        <f t="shared" si="34"/>
        <v>143.48472222222222</v>
      </c>
      <c r="O303" s="38">
        <f t="shared" ca="1" si="38"/>
        <v>52</v>
      </c>
      <c r="P303" s="36">
        <f t="shared" ca="1" si="35"/>
        <v>-2295.7555555555555</v>
      </c>
      <c r="Q303" s="36">
        <f t="shared" ca="1" si="36"/>
        <v>1</v>
      </c>
      <c r="R303" s="50" t="s">
        <v>2906</v>
      </c>
    </row>
    <row r="304" spans="2:18" s="5" customFormat="1" ht="35.25" customHeight="1" x14ac:dyDescent="0.25">
      <c r="B304" s="27">
        <v>43754</v>
      </c>
      <c r="C304" s="24" t="s">
        <v>2351</v>
      </c>
      <c r="D304" s="26" t="s">
        <v>3534</v>
      </c>
      <c r="E304" s="26" t="s">
        <v>3548</v>
      </c>
      <c r="F304" s="26" t="s">
        <v>3542</v>
      </c>
      <c r="G304" s="26" t="s">
        <v>3549</v>
      </c>
      <c r="H304" s="26" t="s">
        <v>60</v>
      </c>
      <c r="I304" s="26" t="s">
        <v>19</v>
      </c>
      <c r="J304" s="32">
        <f t="shared" si="39"/>
        <v>5165.45</v>
      </c>
      <c r="K304" s="32">
        <v>52.710299999999997</v>
      </c>
      <c r="L304" s="33">
        <f t="shared" si="37"/>
        <v>97.996975923111805</v>
      </c>
      <c r="M304" s="26">
        <v>36</v>
      </c>
      <c r="N304" s="37">
        <f>IF(AND(J304&lt;&gt;0,M304&lt;&gt;0),J304/M304,0)</f>
        <v>143.48472222222222</v>
      </c>
      <c r="O304" s="38">
        <f t="shared" ca="1" si="38"/>
        <v>52</v>
      </c>
      <c r="P304" s="36">
        <f t="shared" ca="1" si="35"/>
        <v>-2295.7555555555555</v>
      </c>
      <c r="Q304" s="36">
        <f t="shared" ca="1" si="36"/>
        <v>1</v>
      </c>
      <c r="R304" s="50" t="s">
        <v>2906</v>
      </c>
    </row>
    <row r="305" spans="2:18" s="5" customFormat="1" ht="35.25" customHeight="1" x14ac:dyDescent="0.25">
      <c r="B305" s="27">
        <v>43754</v>
      </c>
      <c r="C305" s="24" t="s">
        <v>2351</v>
      </c>
      <c r="D305" s="26" t="s">
        <v>3534</v>
      </c>
      <c r="E305" s="26" t="s">
        <v>3550</v>
      </c>
      <c r="F305" s="26" t="s">
        <v>3542</v>
      </c>
      <c r="G305" s="26" t="s">
        <v>3551</v>
      </c>
      <c r="H305" s="26" t="s">
        <v>60</v>
      </c>
      <c r="I305" s="26" t="s">
        <v>19</v>
      </c>
      <c r="J305" s="32">
        <f t="shared" si="39"/>
        <v>5165.45</v>
      </c>
      <c r="K305" s="32">
        <v>52.710299999999997</v>
      </c>
      <c r="L305" s="33">
        <f t="shared" si="37"/>
        <v>97.996975923111805</v>
      </c>
      <c r="M305" s="26">
        <v>36</v>
      </c>
      <c r="N305" s="37">
        <f>IF(AND(J305&lt;&gt;0,M305&lt;&gt;0),J305/M305,0)</f>
        <v>143.48472222222222</v>
      </c>
      <c r="O305" s="38">
        <f t="shared" ca="1" si="38"/>
        <v>52</v>
      </c>
      <c r="P305" s="36">
        <f t="shared" ca="1" si="35"/>
        <v>-2295.7555555555555</v>
      </c>
      <c r="Q305" s="36">
        <f t="shared" ca="1" si="36"/>
        <v>1</v>
      </c>
      <c r="R305" s="50" t="s">
        <v>2906</v>
      </c>
    </row>
    <row r="306" spans="2:18" s="5" customFormat="1" ht="46.9" customHeight="1" x14ac:dyDescent="0.25">
      <c r="B306" s="27">
        <v>43754</v>
      </c>
      <c r="C306" s="24" t="s">
        <v>2351</v>
      </c>
      <c r="D306" s="26" t="s">
        <v>3534</v>
      </c>
      <c r="E306" s="26" t="s">
        <v>3552</v>
      </c>
      <c r="F306" s="26" t="s">
        <v>3542</v>
      </c>
      <c r="G306" s="26" t="s">
        <v>3553</v>
      </c>
      <c r="H306" s="26" t="s">
        <v>60</v>
      </c>
      <c r="I306" s="26" t="s">
        <v>19</v>
      </c>
      <c r="J306" s="32">
        <f t="shared" si="39"/>
        <v>5165.45</v>
      </c>
      <c r="K306" s="32">
        <v>52.710299999999997</v>
      </c>
      <c r="L306" s="33">
        <f t="shared" si="37"/>
        <v>97.996975923111805</v>
      </c>
      <c r="M306" s="26">
        <v>36</v>
      </c>
      <c r="N306" s="37">
        <f>IF(AND(J306&lt;&gt;0,M306&lt;&gt;0),J306/M306,0)</f>
        <v>143.48472222222222</v>
      </c>
      <c r="O306" s="38">
        <f t="shared" ca="1" si="38"/>
        <v>52</v>
      </c>
      <c r="P306" s="36">
        <f t="shared" ca="1" si="35"/>
        <v>-2295.7555555555555</v>
      </c>
      <c r="Q306" s="36">
        <f t="shared" ca="1" si="36"/>
        <v>1</v>
      </c>
      <c r="R306" s="50" t="s">
        <v>2906</v>
      </c>
    </row>
    <row r="307" spans="2:18" s="5" customFormat="1" ht="51.75" customHeight="1" x14ac:dyDescent="0.25">
      <c r="B307" s="27">
        <v>43818</v>
      </c>
      <c r="C307" s="24" t="s">
        <v>2351</v>
      </c>
      <c r="D307" s="26" t="s">
        <v>3554</v>
      </c>
      <c r="E307" s="26" t="s">
        <v>3555</v>
      </c>
      <c r="F307" s="26" t="s">
        <v>3556</v>
      </c>
      <c r="G307" s="26" t="s">
        <v>28</v>
      </c>
      <c r="H307" s="26" t="s">
        <v>3557</v>
      </c>
      <c r="I307" s="26" t="s">
        <v>19</v>
      </c>
      <c r="J307" s="32">
        <v>22490.799999999999</v>
      </c>
      <c r="K307" s="32">
        <v>52.850299999999997</v>
      </c>
      <c r="L307" s="33">
        <f t="shared" si="37"/>
        <v>425.55671396378074</v>
      </c>
      <c r="M307" s="26">
        <v>36</v>
      </c>
      <c r="N307" s="37">
        <f>IF(AND(J307&lt;&gt;0,M307&lt;&gt;0),J307/M307,0)</f>
        <v>624.74444444444441</v>
      </c>
      <c r="O307" s="38">
        <f t="shared" ca="1" si="38"/>
        <v>49</v>
      </c>
      <c r="P307" s="36">
        <f t="shared" ca="1" si="35"/>
        <v>-8121.6777777777752</v>
      </c>
      <c r="Q307" s="36">
        <f t="shared" ca="1" si="36"/>
        <v>1</v>
      </c>
      <c r="R307" s="50" t="s">
        <v>2663</v>
      </c>
    </row>
    <row r="308" spans="2:18" s="5" customFormat="1" ht="60" customHeight="1" x14ac:dyDescent="0.25">
      <c r="B308" s="27">
        <v>43818</v>
      </c>
      <c r="C308" s="24" t="s">
        <v>2351</v>
      </c>
      <c r="D308" s="26" t="s">
        <v>3558</v>
      </c>
      <c r="E308" s="26" t="s">
        <v>3563</v>
      </c>
      <c r="F308" s="26" t="s">
        <v>3559</v>
      </c>
      <c r="G308" s="26" t="s">
        <v>3560</v>
      </c>
      <c r="H308" s="26" t="s">
        <v>3029</v>
      </c>
      <c r="I308" s="26" t="s">
        <v>3564</v>
      </c>
      <c r="J308" s="32">
        <v>2548.8000000000002</v>
      </c>
      <c r="K308" s="32">
        <v>52.850299999999997</v>
      </c>
      <c r="L308" s="33">
        <f t="shared" ref="L308:L327" si="40">+J308/K308</f>
        <v>48.226783953922691</v>
      </c>
      <c r="M308" s="26">
        <v>36</v>
      </c>
      <c r="N308" s="37">
        <f t="shared" ref="N308:N327" si="41">IF(AND(J308&lt;&gt;0,M308&lt;&gt;0),J308/M308,0)</f>
        <v>70.800000000000011</v>
      </c>
      <c r="O308" s="38">
        <f t="shared" ca="1" si="38"/>
        <v>49</v>
      </c>
      <c r="P308" s="36">
        <f t="shared" ca="1" si="35"/>
        <v>-920.40000000000055</v>
      </c>
      <c r="Q308" s="36">
        <f t="shared" ca="1" si="36"/>
        <v>1</v>
      </c>
      <c r="R308" s="50" t="s">
        <v>3562</v>
      </c>
    </row>
    <row r="309" spans="2:18" s="5" customFormat="1" ht="62.25" customHeight="1" x14ac:dyDescent="0.25">
      <c r="B309" s="27">
        <v>43818</v>
      </c>
      <c r="C309" s="24" t="s">
        <v>2351</v>
      </c>
      <c r="D309" s="26" t="s">
        <v>3558</v>
      </c>
      <c r="E309" s="26" t="s">
        <v>3565</v>
      </c>
      <c r="F309" s="26" t="s">
        <v>3559</v>
      </c>
      <c r="G309" s="26" t="s">
        <v>3560</v>
      </c>
      <c r="H309" s="26" t="s">
        <v>3029</v>
      </c>
      <c r="I309" s="26" t="s">
        <v>3564</v>
      </c>
      <c r="J309" s="32">
        <v>2548.8000000000002</v>
      </c>
      <c r="K309" s="32">
        <v>52.850299999999997</v>
      </c>
      <c r="L309" s="33">
        <f t="shared" si="40"/>
        <v>48.226783953922691</v>
      </c>
      <c r="M309" s="26">
        <v>36</v>
      </c>
      <c r="N309" s="37">
        <f t="shared" si="41"/>
        <v>70.800000000000011</v>
      </c>
      <c r="O309" s="38">
        <f t="shared" ca="1" si="38"/>
        <v>49</v>
      </c>
      <c r="P309" s="36">
        <f t="shared" ca="1" si="35"/>
        <v>-920.40000000000055</v>
      </c>
      <c r="Q309" s="36">
        <f t="shared" ca="1" si="36"/>
        <v>1</v>
      </c>
      <c r="R309" s="50" t="s">
        <v>3562</v>
      </c>
    </row>
    <row r="310" spans="2:18" s="5" customFormat="1" ht="57" customHeight="1" x14ac:dyDescent="0.25">
      <c r="B310" s="27">
        <v>43819</v>
      </c>
      <c r="C310" s="24" t="s">
        <v>2351</v>
      </c>
      <c r="D310" s="26" t="s">
        <v>3566</v>
      </c>
      <c r="E310" s="26" t="s">
        <v>3568</v>
      </c>
      <c r="F310" s="26" t="s">
        <v>3569</v>
      </c>
      <c r="G310" s="26" t="s">
        <v>28</v>
      </c>
      <c r="H310" s="26" t="s">
        <v>4423</v>
      </c>
      <c r="I310" s="26" t="s">
        <v>3561</v>
      </c>
      <c r="J310" s="32">
        <f>18950+3411</f>
        <v>22361</v>
      </c>
      <c r="K310" s="32">
        <v>52.852400000000003</v>
      </c>
      <c r="L310" s="33">
        <f t="shared" si="40"/>
        <v>423.083909150767</v>
      </c>
      <c r="M310" s="26">
        <v>36</v>
      </c>
      <c r="N310" s="37">
        <f t="shared" si="41"/>
        <v>621.13888888888891</v>
      </c>
      <c r="O310" s="38">
        <f t="shared" ca="1" si="38"/>
        <v>49</v>
      </c>
      <c r="P310" s="36">
        <f t="shared" ca="1" si="35"/>
        <v>-8074.8055555555584</v>
      </c>
      <c r="Q310" s="36">
        <f t="shared" ca="1" si="36"/>
        <v>1</v>
      </c>
      <c r="R310" s="50" t="s">
        <v>3567</v>
      </c>
    </row>
    <row r="311" spans="2:18" s="5" customFormat="1" ht="63" customHeight="1" x14ac:dyDescent="0.25">
      <c r="B311" s="27">
        <v>43819</v>
      </c>
      <c r="C311" s="24" t="s">
        <v>2351</v>
      </c>
      <c r="D311" s="26" t="s">
        <v>3566</v>
      </c>
      <c r="E311" s="26" t="s">
        <v>3570</v>
      </c>
      <c r="F311" s="26" t="s">
        <v>3569</v>
      </c>
      <c r="G311" s="26" t="s">
        <v>28</v>
      </c>
      <c r="H311" s="26" t="s">
        <v>4423</v>
      </c>
      <c r="I311" s="26" t="s">
        <v>3561</v>
      </c>
      <c r="J311" s="32">
        <f>18950+3411</f>
        <v>22361</v>
      </c>
      <c r="K311" s="32">
        <v>52.852400000000003</v>
      </c>
      <c r="L311" s="33">
        <f t="shared" si="40"/>
        <v>423.083909150767</v>
      </c>
      <c r="M311" s="26">
        <v>36</v>
      </c>
      <c r="N311" s="37">
        <f t="shared" si="41"/>
        <v>621.13888888888891</v>
      </c>
      <c r="O311" s="38">
        <f t="shared" ca="1" si="38"/>
        <v>49</v>
      </c>
      <c r="P311" s="36">
        <f t="shared" ca="1" si="35"/>
        <v>-8074.8055555555584</v>
      </c>
      <c r="Q311" s="36">
        <f t="shared" ca="1" si="36"/>
        <v>1</v>
      </c>
      <c r="R311" s="50" t="s">
        <v>3567</v>
      </c>
    </row>
    <row r="312" spans="2:18" s="5" customFormat="1" ht="54" customHeight="1" x14ac:dyDescent="0.25">
      <c r="B312" s="27">
        <v>43819</v>
      </c>
      <c r="C312" s="24" t="s">
        <v>2351</v>
      </c>
      <c r="D312" s="26" t="s">
        <v>3566</v>
      </c>
      <c r="E312" s="26" t="s">
        <v>3571</v>
      </c>
      <c r="F312" s="26" t="s">
        <v>3099</v>
      </c>
      <c r="G312" s="26" t="s">
        <v>28</v>
      </c>
      <c r="H312" s="26" t="s">
        <v>4423</v>
      </c>
      <c r="I312" s="26" t="s">
        <v>3561</v>
      </c>
      <c r="J312" s="32">
        <f>4950+891</f>
        <v>5841</v>
      </c>
      <c r="K312" s="32">
        <v>52.852400000000003</v>
      </c>
      <c r="L312" s="33">
        <f t="shared" si="40"/>
        <v>110.51532191537186</v>
      </c>
      <c r="M312" s="26">
        <v>36</v>
      </c>
      <c r="N312" s="37">
        <f t="shared" si="41"/>
        <v>162.25</v>
      </c>
      <c r="O312" s="38">
        <f t="shared" ca="1" si="38"/>
        <v>49</v>
      </c>
      <c r="P312" s="36">
        <f t="shared" ca="1" si="35"/>
        <v>-2109.25</v>
      </c>
      <c r="Q312" s="36">
        <f t="shared" ca="1" si="36"/>
        <v>1</v>
      </c>
      <c r="R312" s="50" t="s">
        <v>3567</v>
      </c>
    </row>
    <row r="313" spans="2:18" s="5" customFormat="1" ht="51" customHeight="1" x14ac:dyDescent="0.25">
      <c r="B313" s="27">
        <v>43819</v>
      </c>
      <c r="C313" s="24" t="s">
        <v>2351</v>
      </c>
      <c r="D313" s="26" t="s">
        <v>3566</v>
      </c>
      <c r="E313" s="26" t="s">
        <v>3572</v>
      </c>
      <c r="F313" s="26" t="s">
        <v>3099</v>
      </c>
      <c r="G313" s="26" t="s">
        <v>28</v>
      </c>
      <c r="H313" s="26" t="s">
        <v>4423</v>
      </c>
      <c r="I313" s="26" t="s">
        <v>3561</v>
      </c>
      <c r="J313" s="32">
        <f>4950+891</f>
        <v>5841</v>
      </c>
      <c r="K313" s="32">
        <v>52.852400000000003</v>
      </c>
      <c r="L313" s="33">
        <f t="shared" si="40"/>
        <v>110.51532191537186</v>
      </c>
      <c r="M313" s="26">
        <v>36</v>
      </c>
      <c r="N313" s="37">
        <f t="shared" si="41"/>
        <v>162.25</v>
      </c>
      <c r="O313" s="38">
        <f t="shared" ca="1" si="38"/>
        <v>49</v>
      </c>
      <c r="P313" s="36">
        <f t="shared" ca="1" si="35"/>
        <v>-2109.25</v>
      </c>
      <c r="Q313" s="36">
        <f t="shared" ca="1" si="36"/>
        <v>1</v>
      </c>
      <c r="R313" s="50" t="s">
        <v>3567</v>
      </c>
    </row>
    <row r="314" spans="2:18" s="5" customFormat="1" ht="60.75" customHeight="1" x14ac:dyDescent="0.25">
      <c r="B314" s="27">
        <v>43819</v>
      </c>
      <c r="C314" s="24" t="s">
        <v>2351</v>
      </c>
      <c r="D314" s="26" t="s">
        <v>3566</v>
      </c>
      <c r="E314" s="26" t="s">
        <v>3573</v>
      </c>
      <c r="F314" s="26" t="s">
        <v>3574</v>
      </c>
      <c r="G314" s="26" t="s">
        <v>28</v>
      </c>
      <c r="H314" s="26" t="s">
        <v>4423</v>
      </c>
      <c r="I314" s="26" t="s">
        <v>3561</v>
      </c>
      <c r="J314" s="32">
        <v>528050</v>
      </c>
      <c r="K314" s="32">
        <v>52.852400000000003</v>
      </c>
      <c r="L314" s="33">
        <f t="shared" si="40"/>
        <v>9991.0316277028087</v>
      </c>
      <c r="M314" s="26">
        <v>36</v>
      </c>
      <c r="N314" s="37">
        <f t="shared" si="41"/>
        <v>14668.055555555555</v>
      </c>
      <c r="O314" s="38">
        <f t="shared" ca="1" si="38"/>
        <v>49</v>
      </c>
      <c r="P314" s="36">
        <f t="shared" ca="1" si="35"/>
        <v>-190684.72222222213</v>
      </c>
      <c r="Q314" s="36">
        <f t="shared" ca="1" si="36"/>
        <v>1</v>
      </c>
      <c r="R314" s="50" t="s">
        <v>3567</v>
      </c>
    </row>
    <row r="315" spans="2:18" s="5" customFormat="1" ht="60" customHeight="1" x14ac:dyDescent="0.25">
      <c r="B315" s="27">
        <v>43819</v>
      </c>
      <c r="C315" s="24" t="s">
        <v>2351</v>
      </c>
      <c r="D315" s="26" t="s">
        <v>3566</v>
      </c>
      <c r="E315" s="26" t="s">
        <v>3575</v>
      </c>
      <c r="F315" s="26" t="s">
        <v>3576</v>
      </c>
      <c r="G315" s="26" t="s">
        <v>3577</v>
      </c>
      <c r="H315" s="26" t="s">
        <v>4423</v>
      </c>
      <c r="I315" s="26" t="s">
        <v>3561</v>
      </c>
      <c r="J315" s="32">
        <v>3481</v>
      </c>
      <c r="K315" s="32">
        <v>52.852400000000003</v>
      </c>
      <c r="L315" s="33">
        <f t="shared" si="40"/>
        <v>65.862666596029698</v>
      </c>
      <c r="M315" s="26">
        <v>36</v>
      </c>
      <c r="N315" s="37">
        <f t="shared" si="41"/>
        <v>96.694444444444443</v>
      </c>
      <c r="O315" s="38">
        <f t="shared" ca="1" si="38"/>
        <v>49</v>
      </c>
      <c r="P315" s="36">
        <f t="shared" ca="1" si="35"/>
        <v>-1257.0277777777774</v>
      </c>
      <c r="Q315" s="36">
        <f t="shared" ca="1" si="36"/>
        <v>1</v>
      </c>
      <c r="R315" s="50" t="s">
        <v>3567</v>
      </c>
    </row>
    <row r="316" spans="2:18" s="5" customFormat="1" ht="51" customHeight="1" x14ac:dyDescent="0.25">
      <c r="B316" s="27">
        <v>43819</v>
      </c>
      <c r="C316" s="24" t="s">
        <v>2351</v>
      </c>
      <c r="D316" s="26" t="s">
        <v>3566</v>
      </c>
      <c r="E316" s="26" t="s">
        <v>3578</v>
      </c>
      <c r="F316" s="26" t="s">
        <v>3576</v>
      </c>
      <c r="G316" s="26" t="s">
        <v>28</v>
      </c>
      <c r="H316" s="26" t="s">
        <v>4423</v>
      </c>
      <c r="I316" s="26" t="s">
        <v>3561</v>
      </c>
      <c r="J316" s="32">
        <v>3481</v>
      </c>
      <c r="K316" s="32">
        <v>52.852400000000003</v>
      </c>
      <c r="L316" s="33">
        <f t="shared" si="40"/>
        <v>65.862666596029698</v>
      </c>
      <c r="M316" s="26">
        <v>36</v>
      </c>
      <c r="N316" s="37">
        <f t="shared" si="41"/>
        <v>96.694444444444443</v>
      </c>
      <c r="O316" s="38">
        <f t="shared" ca="1" si="38"/>
        <v>49</v>
      </c>
      <c r="P316" s="36">
        <f t="shared" ca="1" si="35"/>
        <v>-1257.0277777777774</v>
      </c>
      <c r="Q316" s="36">
        <f t="shared" ca="1" si="36"/>
        <v>1</v>
      </c>
      <c r="R316" s="50" t="s">
        <v>3567</v>
      </c>
    </row>
    <row r="317" spans="2:18" s="5" customFormat="1" ht="57" customHeight="1" x14ac:dyDescent="0.25">
      <c r="B317" s="27">
        <v>43819</v>
      </c>
      <c r="C317" s="24" t="s">
        <v>2351</v>
      </c>
      <c r="D317" s="26" t="s">
        <v>3566</v>
      </c>
      <c r="E317" s="26" t="s">
        <v>3579</v>
      </c>
      <c r="F317" s="26" t="s">
        <v>3576</v>
      </c>
      <c r="G317" s="26" t="s">
        <v>28</v>
      </c>
      <c r="H317" s="26" t="s">
        <v>4423</v>
      </c>
      <c r="I317" s="26" t="s">
        <v>3561</v>
      </c>
      <c r="J317" s="32">
        <v>3481</v>
      </c>
      <c r="K317" s="32">
        <v>52.852400000000003</v>
      </c>
      <c r="L317" s="33">
        <f t="shared" si="40"/>
        <v>65.862666596029698</v>
      </c>
      <c r="M317" s="26">
        <v>36</v>
      </c>
      <c r="N317" s="37">
        <f t="shared" si="41"/>
        <v>96.694444444444443</v>
      </c>
      <c r="O317" s="38">
        <f t="shared" ca="1" si="38"/>
        <v>49</v>
      </c>
      <c r="P317" s="36">
        <f t="shared" ca="1" si="35"/>
        <v>-1257.0277777777774</v>
      </c>
      <c r="Q317" s="36">
        <f t="shared" ca="1" si="36"/>
        <v>1</v>
      </c>
      <c r="R317" s="50" t="s">
        <v>3567</v>
      </c>
    </row>
    <row r="318" spans="2:18" s="5" customFormat="1" ht="60" customHeight="1" x14ac:dyDescent="0.25">
      <c r="B318" s="27">
        <v>43819</v>
      </c>
      <c r="C318" s="24" t="s">
        <v>2351</v>
      </c>
      <c r="D318" s="26" t="s">
        <v>3566</v>
      </c>
      <c r="E318" s="26" t="s">
        <v>3580</v>
      </c>
      <c r="F318" s="26" t="s">
        <v>3576</v>
      </c>
      <c r="G318" s="26" t="s">
        <v>28</v>
      </c>
      <c r="H318" s="26" t="s">
        <v>4423</v>
      </c>
      <c r="I318" s="26" t="s">
        <v>3561</v>
      </c>
      <c r="J318" s="32">
        <v>3481</v>
      </c>
      <c r="K318" s="32">
        <v>52.852400000000003</v>
      </c>
      <c r="L318" s="33">
        <f t="shared" si="40"/>
        <v>65.862666596029698</v>
      </c>
      <c r="M318" s="26">
        <v>36</v>
      </c>
      <c r="N318" s="37">
        <f t="shared" si="41"/>
        <v>96.694444444444443</v>
      </c>
      <c r="O318" s="38">
        <f t="shared" ca="1" si="38"/>
        <v>49</v>
      </c>
      <c r="P318" s="36">
        <f t="shared" ca="1" si="35"/>
        <v>-1257.0277777777774</v>
      </c>
      <c r="Q318" s="36">
        <f t="shared" ca="1" si="36"/>
        <v>1</v>
      </c>
      <c r="R318" s="50" t="s">
        <v>3567</v>
      </c>
    </row>
    <row r="319" spans="2:18" s="5" customFormat="1" ht="59.25" customHeight="1" x14ac:dyDescent="0.25">
      <c r="B319" s="27">
        <v>43819</v>
      </c>
      <c r="C319" s="24" t="s">
        <v>2351</v>
      </c>
      <c r="D319" s="26" t="s">
        <v>3566</v>
      </c>
      <c r="E319" s="26" t="s">
        <v>3581</v>
      </c>
      <c r="F319" s="26" t="s">
        <v>3576</v>
      </c>
      <c r="G319" s="26" t="s">
        <v>28</v>
      </c>
      <c r="H319" s="26" t="s">
        <v>4423</v>
      </c>
      <c r="I319" s="26" t="s">
        <v>3561</v>
      </c>
      <c r="J319" s="32">
        <v>3481</v>
      </c>
      <c r="K319" s="32">
        <v>52.852400000000003</v>
      </c>
      <c r="L319" s="33">
        <f t="shared" si="40"/>
        <v>65.862666596029698</v>
      </c>
      <c r="M319" s="26">
        <v>36</v>
      </c>
      <c r="N319" s="37">
        <f t="shared" si="41"/>
        <v>96.694444444444443</v>
      </c>
      <c r="O319" s="38">
        <f t="shared" ca="1" si="38"/>
        <v>49</v>
      </c>
      <c r="P319" s="36">
        <f t="shared" ca="1" si="35"/>
        <v>-1257.0277777777774</v>
      </c>
      <c r="Q319" s="36">
        <f t="shared" ca="1" si="36"/>
        <v>1</v>
      </c>
      <c r="R319" s="50" t="s">
        <v>3567</v>
      </c>
    </row>
    <row r="320" spans="2:18" s="5" customFormat="1" ht="56.25" customHeight="1" x14ac:dyDescent="0.25">
      <c r="B320" s="27">
        <v>43819</v>
      </c>
      <c r="C320" s="24" t="s">
        <v>2351</v>
      </c>
      <c r="D320" s="26" t="s">
        <v>3566</v>
      </c>
      <c r="E320" s="26" t="s">
        <v>3582</v>
      </c>
      <c r="F320" s="26" t="s">
        <v>3583</v>
      </c>
      <c r="G320" s="26" t="s">
        <v>28</v>
      </c>
      <c r="H320" s="26" t="s">
        <v>4423</v>
      </c>
      <c r="I320" s="26" t="s">
        <v>3561</v>
      </c>
      <c r="J320" s="32">
        <v>3481</v>
      </c>
      <c r="K320" s="32">
        <v>52.852400000000003</v>
      </c>
      <c r="L320" s="33">
        <f t="shared" si="40"/>
        <v>65.862666596029698</v>
      </c>
      <c r="M320" s="26">
        <v>36</v>
      </c>
      <c r="N320" s="37">
        <f t="shared" si="41"/>
        <v>96.694444444444443</v>
      </c>
      <c r="O320" s="38">
        <f t="shared" ca="1" si="38"/>
        <v>49</v>
      </c>
      <c r="P320" s="36">
        <f t="shared" ca="1" si="35"/>
        <v>-1257.0277777777774</v>
      </c>
      <c r="Q320" s="36">
        <f t="shared" ca="1" si="36"/>
        <v>1</v>
      </c>
      <c r="R320" s="50" t="s">
        <v>3567</v>
      </c>
    </row>
    <row r="321" spans="2:18" s="5" customFormat="1" ht="61.5" customHeight="1" x14ac:dyDescent="0.25">
      <c r="B321" s="27">
        <v>43819</v>
      </c>
      <c r="C321" s="24" t="s">
        <v>2351</v>
      </c>
      <c r="D321" s="26" t="s">
        <v>3566</v>
      </c>
      <c r="E321" s="26" t="s">
        <v>3584</v>
      </c>
      <c r="F321" s="26" t="s">
        <v>3583</v>
      </c>
      <c r="G321" s="26" t="s">
        <v>28</v>
      </c>
      <c r="H321" s="26" t="s">
        <v>4423</v>
      </c>
      <c r="I321" s="26" t="s">
        <v>3561</v>
      </c>
      <c r="J321" s="32">
        <v>3481</v>
      </c>
      <c r="K321" s="32">
        <v>52.852400000000003</v>
      </c>
      <c r="L321" s="33">
        <f t="shared" si="40"/>
        <v>65.862666596029698</v>
      </c>
      <c r="M321" s="26">
        <v>36</v>
      </c>
      <c r="N321" s="37">
        <f t="shared" si="41"/>
        <v>96.694444444444443</v>
      </c>
      <c r="O321" s="38">
        <f t="shared" ca="1" si="38"/>
        <v>49</v>
      </c>
      <c r="P321" s="36">
        <f t="shared" ca="1" si="35"/>
        <v>-1257.0277777777774</v>
      </c>
      <c r="Q321" s="36">
        <f t="shared" ref="Q321:Q377" ca="1" si="42">IF(P321&lt;1,1,P321)</f>
        <v>1</v>
      </c>
      <c r="R321" s="50" t="s">
        <v>3567</v>
      </c>
    </row>
    <row r="322" spans="2:18" s="5" customFormat="1" ht="51.75" customHeight="1" x14ac:dyDescent="0.25">
      <c r="B322" s="27">
        <v>43819</v>
      </c>
      <c r="C322" s="24" t="s">
        <v>2351</v>
      </c>
      <c r="D322" s="26" t="s">
        <v>3566</v>
      </c>
      <c r="E322" s="26" t="s">
        <v>3585</v>
      </c>
      <c r="F322" s="26" t="s">
        <v>3586</v>
      </c>
      <c r="G322" s="26" t="s">
        <v>28</v>
      </c>
      <c r="H322" s="26" t="s">
        <v>4423</v>
      </c>
      <c r="I322" s="26" t="s">
        <v>3561</v>
      </c>
      <c r="J322" s="32">
        <v>8071.2</v>
      </c>
      <c r="K322" s="32">
        <v>52.852400000000003</v>
      </c>
      <c r="L322" s="33">
        <f t="shared" si="40"/>
        <v>152.71208119215021</v>
      </c>
      <c r="M322" s="26">
        <v>36</v>
      </c>
      <c r="N322" s="37">
        <f t="shared" si="41"/>
        <v>224.2</v>
      </c>
      <c r="O322" s="38">
        <f t="shared" ca="1" si="38"/>
        <v>49</v>
      </c>
      <c r="P322" s="36">
        <f t="shared" ca="1" si="35"/>
        <v>-2914.5999999999995</v>
      </c>
      <c r="Q322" s="36">
        <f t="shared" ca="1" si="42"/>
        <v>1</v>
      </c>
      <c r="R322" s="50" t="s">
        <v>3567</v>
      </c>
    </row>
    <row r="323" spans="2:18" s="5" customFormat="1" ht="78" customHeight="1" x14ac:dyDescent="0.25">
      <c r="B323" s="27">
        <v>43819</v>
      </c>
      <c r="C323" s="24" t="s">
        <v>2351</v>
      </c>
      <c r="D323" s="26" t="s">
        <v>3566</v>
      </c>
      <c r="E323" s="26" t="s">
        <v>3587</v>
      </c>
      <c r="F323" s="26" t="s">
        <v>3588</v>
      </c>
      <c r="G323" s="26" t="s">
        <v>28</v>
      </c>
      <c r="H323" s="26" t="s">
        <v>4423</v>
      </c>
      <c r="I323" s="26" t="s">
        <v>3561</v>
      </c>
      <c r="J323" s="32">
        <v>55224</v>
      </c>
      <c r="K323" s="32">
        <v>52.852400000000003</v>
      </c>
      <c r="L323" s="33">
        <f t="shared" si="40"/>
        <v>1044.8721344726066</v>
      </c>
      <c r="M323" s="26">
        <v>36</v>
      </c>
      <c r="N323" s="37">
        <f t="shared" si="41"/>
        <v>1534</v>
      </c>
      <c r="O323" s="38">
        <f t="shared" ca="1" si="38"/>
        <v>49</v>
      </c>
      <c r="P323" s="36">
        <f t="shared" ca="1" si="35"/>
        <v>-19942</v>
      </c>
      <c r="Q323" s="36">
        <f t="shared" ca="1" si="42"/>
        <v>1</v>
      </c>
      <c r="R323" s="50" t="s">
        <v>3567</v>
      </c>
    </row>
    <row r="324" spans="2:18" s="5" customFormat="1" ht="54" customHeight="1" x14ac:dyDescent="0.25">
      <c r="B324" s="27">
        <v>43819</v>
      </c>
      <c r="C324" s="24" t="s">
        <v>2351</v>
      </c>
      <c r="D324" s="26" t="s">
        <v>3566</v>
      </c>
      <c r="E324" s="26" t="s">
        <v>3589</v>
      </c>
      <c r="F324" s="26" t="s">
        <v>3590</v>
      </c>
      <c r="G324" s="26" t="s">
        <v>28</v>
      </c>
      <c r="H324" s="26" t="s">
        <v>4423</v>
      </c>
      <c r="I324" s="26" t="s">
        <v>3561</v>
      </c>
      <c r="J324" s="32">
        <v>3481</v>
      </c>
      <c r="K324" s="32">
        <v>52.852400000000003</v>
      </c>
      <c r="L324" s="33">
        <f t="shared" si="40"/>
        <v>65.862666596029698</v>
      </c>
      <c r="M324" s="26">
        <v>36</v>
      </c>
      <c r="N324" s="37">
        <f t="shared" si="41"/>
        <v>96.694444444444443</v>
      </c>
      <c r="O324" s="38">
        <f t="shared" ca="1" si="38"/>
        <v>49</v>
      </c>
      <c r="P324" s="36">
        <f t="shared" ca="1" si="35"/>
        <v>-1257.0277777777774</v>
      </c>
      <c r="Q324" s="36">
        <f t="shared" ca="1" si="42"/>
        <v>1</v>
      </c>
      <c r="R324" s="50" t="s">
        <v>3567</v>
      </c>
    </row>
    <row r="325" spans="2:18" s="5" customFormat="1" ht="56.25" customHeight="1" x14ac:dyDescent="0.25">
      <c r="B325" s="27">
        <v>43819</v>
      </c>
      <c r="C325" s="24" t="s">
        <v>2351</v>
      </c>
      <c r="D325" s="26" t="s">
        <v>3566</v>
      </c>
      <c r="E325" s="26" t="s">
        <v>3591</v>
      </c>
      <c r="F325" s="26" t="s">
        <v>3590</v>
      </c>
      <c r="G325" s="26" t="s">
        <v>28</v>
      </c>
      <c r="H325" s="26" t="s">
        <v>4423</v>
      </c>
      <c r="I325" s="26" t="s">
        <v>3561</v>
      </c>
      <c r="J325" s="32">
        <v>3481</v>
      </c>
      <c r="K325" s="32">
        <v>52.852400000000003</v>
      </c>
      <c r="L325" s="33">
        <f t="shared" si="40"/>
        <v>65.862666596029698</v>
      </c>
      <c r="M325" s="26">
        <v>36</v>
      </c>
      <c r="N325" s="37">
        <f t="shared" si="41"/>
        <v>96.694444444444443</v>
      </c>
      <c r="O325" s="38">
        <f t="shared" ca="1" si="38"/>
        <v>49</v>
      </c>
      <c r="P325" s="36">
        <f t="shared" ca="1" si="35"/>
        <v>-1257.0277777777774</v>
      </c>
      <c r="Q325" s="36">
        <f t="shared" ca="1" si="42"/>
        <v>1</v>
      </c>
      <c r="R325" s="50" t="s">
        <v>3567</v>
      </c>
    </row>
    <row r="326" spans="2:18" s="5" customFormat="1" ht="55.5" customHeight="1" x14ac:dyDescent="0.25">
      <c r="B326" s="27">
        <v>43819</v>
      </c>
      <c r="C326" s="24" t="s">
        <v>2351</v>
      </c>
      <c r="D326" s="26" t="s">
        <v>3566</v>
      </c>
      <c r="E326" s="26" t="s">
        <v>3592</v>
      </c>
      <c r="F326" s="26" t="s">
        <v>3590</v>
      </c>
      <c r="G326" s="26" t="s">
        <v>28</v>
      </c>
      <c r="H326" s="26" t="s">
        <v>4423</v>
      </c>
      <c r="I326" s="26" t="s">
        <v>3561</v>
      </c>
      <c r="J326" s="32">
        <v>3481</v>
      </c>
      <c r="K326" s="32">
        <v>52.852400000000003</v>
      </c>
      <c r="L326" s="33">
        <f t="shared" si="40"/>
        <v>65.862666596029698</v>
      </c>
      <c r="M326" s="26">
        <v>36</v>
      </c>
      <c r="N326" s="37">
        <f t="shared" si="41"/>
        <v>96.694444444444443</v>
      </c>
      <c r="O326" s="38">
        <f t="shared" ca="1" si="38"/>
        <v>49</v>
      </c>
      <c r="P326" s="36">
        <f t="shared" ca="1" si="35"/>
        <v>-1257.0277777777774</v>
      </c>
      <c r="Q326" s="36">
        <f t="shared" ca="1" si="42"/>
        <v>1</v>
      </c>
      <c r="R326" s="50" t="s">
        <v>3567</v>
      </c>
    </row>
    <row r="327" spans="2:18" s="5" customFormat="1" ht="78" customHeight="1" x14ac:dyDescent="0.25">
      <c r="B327" s="27">
        <v>43886</v>
      </c>
      <c r="C327" s="24" t="s">
        <v>2351</v>
      </c>
      <c r="D327" s="26" t="s">
        <v>3593</v>
      </c>
      <c r="E327" s="26" t="s">
        <v>3594</v>
      </c>
      <c r="F327" s="26" t="s">
        <v>3595</v>
      </c>
      <c r="G327" s="26" t="s">
        <v>28</v>
      </c>
      <c r="H327" s="26" t="s">
        <v>60</v>
      </c>
      <c r="I327" s="26" t="s">
        <v>19</v>
      </c>
      <c r="J327" s="32">
        <f>37400+6732</f>
        <v>44132</v>
      </c>
      <c r="K327" s="32">
        <v>53.388800000000003</v>
      </c>
      <c r="L327" s="33">
        <f t="shared" si="40"/>
        <v>826.61532006713014</v>
      </c>
      <c r="M327" s="26">
        <v>36</v>
      </c>
      <c r="N327" s="37">
        <f t="shared" si="41"/>
        <v>1225.8888888888889</v>
      </c>
      <c r="O327" s="38">
        <f t="shared" ref="O327:O349" ca="1" si="43">IF(B327&lt;&gt;0,(ROUND((NOW()-B327)/30,0)),0)</f>
        <v>47</v>
      </c>
      <c r="P327" s="36">
        <f t="shared" ca="1" si="35"/>
        <v>-13484.777777777781</v>
      </c>
      <c r="Q327" s="36">
        <f t="shared" ca="1" si="42"/>
        <v>1</v>
      </c>
      <c r="R327" s="50" t="s">
        <v>3596</v>
      </c>
    </row>
    <row r="328" spans="2:18" s="5" customFormat="1" ht="78" customHeight="1" x14ac:dyDescent="0.25">
      <c r="B328" s="27">
        <v>43886</v>
      </c>
      <c r="C328" s="24" t="s">
        <v>2351</v>
      </c>
      <c r="D328" s="26" t="s">
        <v>3593</v>
      </c>
      <c r="E328" s="26" t="s">
        <v>3597</v>
      </c>
      <c r="F328" s="26" t="s">
        <v>3598</v>
      </c>
      <c r="G328" s="26" t="s">
        <v>28</v>
      </c>
      <c r="H328" s="26" t="s">
        <v>60</v>
      </c>
      <c r="I328" s="26" t="s">
        <v>19</v>
      </c>
      <c r="J328" s="32">
        <f>131400+23652</f>
        <v>155052</v>
      </c>
      <c r="K328" s="32">
        <v>53.388800000000003</v>
      </c>
      <c r="L328" s="33">
        <f t="shared" ref="L328:L349" si="44">+J328/K328</f>
        <v>2904.2046271877248</v>
      </c>
      <c r="M328" s="26">
        <v>36</v>
      </c>
      <c r="N328" s="37">
        <f t="shared" ref="N328:N349" si="45">IF(AND(J328&lt;&gt;0,M328&lt;&gt;0),J328/M328,0)</f>
        <v>4307</v>
      </c>
      <c r="O328" s="38">
        <f t="shared" ca="1" si="43"/>
        <v>47</v>
      </c>
      <c r="P328" s="36">
        <f t="shared" ca="1" si="35"/>
        <v>-47377</v>
      </c>
      <c r="Q328" s="36">
        <f t="shared" ca="1" si="42"/>
        <v>1</v>
      </c>
      <c r="R328" s="50" t="s">
        <v>3596</v>
      </c>
    </row>
    <row r="329" spans="2:18" s="5" customFormat="1" ht="81" customHeight="1" x14ac:dyDescent="0.25">
      <c r="B329" s="27">
        <v>43886</v>
      </c>
      <c r="C329" s="24" t="s">
        <v>2351</v>
      </c>
      <c r="D329" s="26" t="s">
        <v>3593</v>
      </c>
      <c r="E329" s="26" t="s">
        <v>3599</v>
      </c>
      <c r="F329" s="26" t="s">
        <v>3600</v>
      </c>
      <c r="G329" s="26" t="s">
        <v>28</v>
      </c>
      <c r="H329" s="26" t="s">
        <v>60</v>
      </c>
      <c r="I329" s="26" t="s">
        <v>19</v>
      </c>
      <c r="J329" s="32">
        <f>28777+5179.86</f>
        <v>33956.86</v>
      </c>
      <c r="K329" s="32">
        <v>53.388800000000003</v>
      </c>
      <c r="L329" s="33">
        <f t="shared" si="44"/>
        <v>636.0296541596739</v>
      </c>
      <c r="M329" s="26">
        <v>36</v>
      </c>
      <c r="N329" s="37">
        <f t="shared" si="45"/>
        <v>943.24611111111108</v>
      </c>
      <c r="O329" s="38">
        <f t="shared" ca="1" si="43"/>
        <v>47</v>
      </c>
      <c r="P329" s="36">
        <f t="shared" ref="P329:P392" ca="1" si="46">IF(OR(J329=0,M329=0,O329=0),0,J329-(N329*O329))</f>
        <v>-10375.70722222222</v>
      </c>
      <c r="Q329" s="36">
        <f t="shared" ca="1" si="42"/>
        <v>1</v>
      </c>
      <c r="R329" s="50" t="s">
        <v>3596</v>
      </c>
    </row>
    <row r="330" spans="2:18" s="5" customFormat="1" ht="67.5" customHeight="1" x14ac:dyDescent="0.25">
      <c r="B330" s="27">
        <v>43990</v>
      </c>
      <c r="C330" s="24" t="s">
        <v>2351</v>
      </c>
      <c r="D330" s="26" t="s">
        <v>3601</v>
      </c>
      <c r="E330" s="26" t="s">
        <v>3602</v>
      </c>
      <c r="F330" s="26" t="s">
        <v>3603</v>
      </c>
      <c r="G330" s="26" t="s">
        <v>3604</v>
      </c>
      <c r="H330" s="26" t="s">
        <v>60</v>
      </c>
      <c r="I330" s="26" t="s">
        <v>19</v>
      </c>
      <c r="J330" s="32">
        <f>73366.11+13205.9</f>
        <v>86572.01</v>
      </c>
      <c r="K330" s="32">
        <v>57.432899999999997</v>
      </c>
      <c r="L330" s="33">
        <f t="shared" si="44"/>
        <v>1507.3591965580704</v>
      </c>
      <c r="M330" s="26">
        <v>36</v>
      </c>
      <c r="N330" s="37">
        <f t="shared" si="45"/>
        <v>2404.7780555555555</v>
      </c>
      <c r="O330" s="38">
        <f t="shared" ca="1" si="43"/>
        <v>44</v>
      </c>
      <c r="P330" s="36">
        <f t="shared" ca="1" si="46"/>
        <v>-19238.224444444451</v>
      </c>
      <c r="Q330" s="36">
        <f t="shared" ca="1" si="42"/>
        <v>1</v>
      </c>
      <c r="R330" s="50" t="s">
        <v>2962</v>
      </c>
    </row>
    <row r="331" spans="2:18" s="5" customFormat="1" ht="31.5" customHeight="1" x14ac:dyDescent="0.25">
      <c r="B331" s="27">
        <v>43990</v>
      </c>
      <c r="C331" s="24" t="s">
        <v>2351</v>
      </c>
      <c r="D331" s="26" t="s">
        <v>3601</v>
      </c>
      <c r="E331" s="26" t="s">
        <v>3605</v>
      </c>
      <c r="F331" s="26" t="s">
        <v>3606</v>
      </c>
      <c r="G331" s="26" t="s">
        <v>3607</v>
      </c>
      <c r="H331" s="26" t="s">
        <v>60</v>
      </c>
      <c r="I331" s="26" t="s">
        <v>19</v>
      </c>
      <c r="J331" s="32">
        <f>7687.67+1383.78</f>
        <v>9071.4500000000007</v>
      </c>
      <c r="K331" s="32">
        <v>57.432899999999997</v>
      </c>
      <c r="L331" s="33">
        <f t="shared" si="44"/>
        <v>157.94866705320473</v>
      </c>
      <c r="M331" s="26">
        <v>36</v>
      </c>
      <c r="N331" s="37">
        <f t="shared" si="45"/>
        <v>251.98472222222225</v>
      </c>
      <c r="O331" s="38">
        <f t="shared" ca="1" si="43"/>
        <v>44</v>
      </c>
      <c r="P331" s="36">
        <f t="shared" ca="1" si="46"/>
        <v>-2015.8777777777777</v>
      </c>
      <c r="Q331" s="36">
        <f t="shared" ca="1" si="42"/>
        <v>1</v>
      </c>
      <c r="R331" s="50" t="s">
        <v>2962</v>
      </c>
    </row>
    <row r="332" spans="2:18" s="5" customFormat="1" ht="30.75" customHeight="1" x14ac:dyDescent="0.25">
      <c r="B332" s="27">
        <v>43990</v>
      </c>
      <c r="C332" s="24" t="s">
        <v>2351</v>
      </c>
      <c r="D332" s="26" t="s">
        <v>3601</v>
      </c>
      <c r="E332" s="26" t="s">
        <v>3608</v>
      </c>
      <c r="F332" s="26" t="s">
        <v>3606</v>
      </c>
      <c r="G332" s="26" t="s">
        <v>3609</v>
      </c>
      <c r="H332" s="26" t="s">
        <v>60</v>
      </c>
      <c r="I332" s="26" t="s">
        <v>19</v>
      </c>
      <c r="J332" s="32">
        <f>7687.67+1383.78</f>
        <v>9071.4500000000007</v>
      </c>
      <c r="K332" s="32">
        <v>57.432899999999997</v>
      </c>
      <c r="L332" s="33">
        <f t="shared" si="44"/>
        <v>157.94866705320473</v>
      </c>
      <c r="M332" s="26">
        <v>36</v>
      </c>
      <c r="N332" s="37">
        <f t="shared" si="45"/>
        <v>251.98472222222225</v>
      </c>
      <c r="O332" s="38">
        <f t="shared" ca="1" si="43"/>
        <v>44</v>
      </c>
      <c r="P332" s="36">
        <f t="shared" ca="1" si="46"/>
        <v>-2015.8777777777777</v>
      </c>
      <c r="Q332" s="36">
        <f t="shared" ca="1" si="42"/>
        <v>1</v>
      </c>
      <c r="R332" s="50" t="s">
        <v>2962</v>
      </c>
    </row>
    <row r="333" spans="2:18" s="5" customFormat="1" ht="26.25" customHeight="1" x14ac:dyDescent="0.25">
      <c r="B333" s="27">
        <v>43990</v>
      </c>
      <c r="C333" s="24" t="s">
        <v>2351</v>
      </c>
      <c r="D333" s="26" t="s">
        <v>3601</v>
      </c>
      <c r="E333" s="26" t="s">
        <v>3610</v>
      </c>
      <c r="F333" s="26" t="s">
        <v>3606</v>
      </c>
      <c r="G333" s="26" t="s">
        <v>3611</v>
      </c>
      <c r="H333" s="26" t="s">
        <v>60</v>
      </c>
      <c r="I333" s="26" t="s">
        <v>19</v>
      </c>
      <c r="J333" s="32">
        <f>7687.67+1383.78</f>
        <v>9071.4500000000007</v>
      </c>
      <c r="K333" s="32">
        <v>57.432899999999997</v>
      </c>
      <c r="L333" s="33">
        <f t="shared" si="44"/>
        <v>157.94866705320473</v>
      </c>
      <c r="M333" s="26">
        <v>36</v>
      </c>
      <c r="N333" s="37">
        <f t="shared" si="45"/>
        <v>251.98472222222225</v>
      </c>
      <c r="O333" s="38">
        <f t="shared" ca="1" si="43"/>
        <v>44</v>
      </c>
      <c r="P333" s="36">
        <f t="shared" ca="1" si="46"/>
        <v>-2015.8777777777777</v>
      </c>
      <c r="Q333" s="36">
        <f t="shared" ca="1" si="42"/>
        <v>1</v>
      </c>
      <c r="R333" s="50" t="s">
        <v>2962</v>
      </c>
    </row>
    <row r="334" spans="2:18" s="5" customFormat="1" ht="28.5" customHeight="1" x14ac:dyDescent="0.25">
      <c r="B334" s="27">
        <v>43990</v>
      </c>
      <c r="C334" s="24" t="s">
        <v>2351</v>
      </c>
      <c r="D334" s="26" t="s">
        <v>3601</v>
      </c>
      <c r="E334" s="26" t="s">
        <v>3612</v>
      </c>
      <c r="F334" s="26" t="s">
        <v>3613</v>
      </c>
      <c r="G334" s="26" t="s">
        <v>3614</v>
      </c>
      <c r="H334" s="26" t="s">
        <v>60</v>
      </c>
      <c r="I334" s="26" t="s">
        <v>19</v>
      </c>
      <c r="J334" s="32">
        <f>7995.18+1439.13</f>
        <v>9434.3100000000013</v>
      </c>
      <c r="K334" s="32">
        <v>57.432899999999997</v>
      </c>
      <c r="L334" s="33">
        <f t="shared" si="44"/>
        <v>164.26664855857882</v>
      </c>
      <c r="M334" s="26">
        <v>36</v>
      </c>
      <c r="N334" s="37">
        <f t="shared" si="45"/>
        <v>262.06416666666672</v>
      </c>
      <c r="O334" s="38">
        <f t="shared" ca="1" si="43"/>
        <v>44</v>
      </c>
      <c r="P334" s="36">
        <f t="shared" ca="1" si="46"/>
        <v>-2096.5133333333342</v>
      </c>
      <c r="Q334" s="36">
        <f t="shared" ca="1" si="42"/>
        <v>1</v>
      </c>
      <c r="R334" s="50" t="s">
        <v>2962</v>
      </c>
    </row>
    <row r="335" spans="2:18" s="5" customFormat="1" ht="25.5" customHeight="1" x14ac:dyDescent="0.25">
      <c r="B335" s="27">
        <v>43990</v>
      </c>
      <c r="C335" s="24" t="s">
        <v>2351</v>
      </c>
      <c r="D335" s="26" t="s">
        <v>3601</v>
      </c>
      <c r="E335" s="26" t="s">
        <v>3615</v>
      </c>
      <c r="F335" s="26" t="s">
        <v>3616</v>
      </c>
      <c r="G335" s="26" t="s">
        <v>3617</v>
      </c>
      <c r="H335" s="26" t="s">
        <v>60</v>
      </c>
      <c r="I335" s="26" t="s">
        <v>19</v>
      </c>
      <c r="J335" s="32">
        <f>64790.63+11662.31</f>
        <v>76452.94</v>
      </c>
      <c r="K335" s="32">
        <v>57.432899999999997</v>
      </c>
      <c r="L335" s="33">
        <f t="shared" si="44"/>
        <v>1331.1697650649717</v>
      </c>
      <c r="M335" s="26">
        <v>36</v>
      </c>
      <c r="N335" s="37">
        <f t="shared" si="45"/>
        <v>2123.6927777777778</v>
      </c>
      <c r="O335" s="38">
        <f t="shared" ca="1" si="43"/>
        <v>44</v>
      </c>
      <c r="P335" s="36">
        <f t="shared" ca="1" si="46"/>
        <v>-16989.542222222226</v>
      </c>
      <c r="Q335" s="36">
        <f t="shared" ca="1" si="42"/>
        <v>1</v>
      </c>
      <c r="R335" s="50" t="s">
        <v>2962</v>
      </c>
    </row>
    <row r="336" spans="2:18" s="5" customFormat="1" ht="33.75" customHeight="1" x14ac:dyDescent="0.25">
      <c r="B336" s="27">
        <v>43990</v>
      </c>
      <c r="C336" s="24" t="s">
        <v>2351</v>
      </c>
      <c r="D336" s="26" t="s">
        <v>3601</v>
      </c>
      <c r="E336" s="26" t="s">
        <v>3618</v>
      </c>
      <c r="F336" s="26" t="s">
        <v>3619</v>
      </c>
      <c r="G336" s="26" t="s">
        <v>3620</v>
      </c>
      <c r="H336" s="26" t="s">
        <v>60</v>
      </c>
      <c r="I336" s="26" t="s">
        <v>19</v>
      </c>
      <c r="J336" s="32">
        <f>13957.9+2512.42</f>
        <v>16470.32</v>
      </c>
      <c r="K336" s="32">
        <v>57.432899999999997</v>
      </c>
      <c r="L336" s="33">
        <f t="shared" si="44"/>
        <v>286.77500178469137</v>
      </c>
      <c r="M336" s="26">
        <v>36</v>
      </c>
      <c r="N336" s="37">
        <f t="shared" si="45"/>
        <v>457.50888888888886</v>
      </c>
      <c r="O336" s="38">
        <f t="shared" ca="1" si="43"/>
        <v>44</v>
      </c>
      <c r="P336" s="36">
        <f t="shared" ca="1" si="46"/>
        <v>-3660.0711111111086</v>
      </c>
      <c r="Q336" s="36">
        <f t="shared" ca="1" si="42"/>
        <v>1</v>
      </c>
      <c r="R336" s="50" t="s">
        <v>2962</v>
      </c>
    </row>
    <row r="337" spans="2:18" s="5" customFormat="1" ht="51.75" customHeight="1" x14ac:dyDescent="0.25">
      <c r="B337" s="27">
        <v>43990</v>
      </c>
      <c r="C337" s="24" t="s">
        <v>2351</v>
      </c>
      <c r="D337" s="26" t="s">
        <v>3601</v>
      </c>
      <c r="E337" s="26" t="s">
        <v>3621</v>
      </c>
      <c r="F337" s="26" t="s">
        <v>3622</v>
      </c>
      <c r="G337" s="26" t="s">
        <v>28</v>
      </c>
      <c r="H337" s="26" t="s">
        <v>60</v>
      </c>
      <c r="I337" s="26" t="s">
        <v>19</v>
      </c>
      <c r="J337" s="32">
        <f>7725.6+1390.61</f>
        <v>9116.2100000000009</v>
      </c>
      <c r="K337" s="32">
        <v>57.432899999999997</v>
      </c>
      <c r="L337" s="33">
        <f t="shared" si="44"/>
        <v>158.72801129666101</v>
      </c>
      <c r="M337" s="26">
        <v>36</v>
      </c>
      <c r="N337" s="37">
        <f t="shared" si="45"/>
        <v>253.22805555555558</v>
      </c>
      <c r="O337" s="38">
        <f t="shared" ca="1" si="43"/>
        <v>44</v>
      </c>
      <c r="P337" s="36">
        <f t="shared" ca="1" si="46"/>
        <v>-2025.8244444444445</v>
      </c>
      <c r="Q337" s="36">
        <f t="shared" ca="1" si="42"/>
        <v>1</v>
      </c>
      <c r="R337" s="50" t="s">
        <v>2962</v>
      </c>
    </row>
    <row r="338" spans="2:18" s="5" customFormat="1" ht="36.75" customHeight="1" x14ac:dyDescent="0.25">
      <c r="B338" s="27">
        <v>43990</v>
      </c>
      <c r="C338" s="24" t="s">
        <v>2351</v>
      </c>
      <c r="D338" s="26" t="s">
        <v>3601</v>
      </c>
      <c r="E338" s="26" t="s">
        <v>3623</v>
      </c>
      <c r="F338" s="26" t="s">
        <v>3624</v>
      </c>
      <c r="G338" s="26" t="s">
        <v>3625</v>
      </c>
      <c r="H338" s="26" t="s">
        <v>60</v>
      </c>
      <c r="I338" s="26" t="s">
        <v>19</v>
      </c>
      <c r="J338" s="32">
        <f>3765.39+677.77</f>
        <v>4443.16</v>
      </c>
      <c r="K338" s="32">
        <v>57.432899999999997</v>
      </c>
      <c r="L338" s="33">
        <f t="shared" si="44"/>
        <v>77.362626647792467</v>
      </c>
      <c r="M338" s="26">
        <v>36</v>
      </c>
      <c r="N338" s="37">
        <f t="shared" si="45"/>
        <v>123.4211111111111</v>
      </c>
      <c r="O338" s="38">
        <f t="shared" ca="1" si="43"/>
        <v>44</v>
      </c>
      <c r="P338" s="36">
        <f t="shared" ca="1" si="46"/>
        <v>-987.36888888888825</v>
      </c>
      <c r="Q338" s="36">
        <f t="shared" ca="1" si="42"/>
        <v>1</v>
      </c>
      <c r="R338" s="50" t="s">
        <v>2962</v>
      </c>
    </row>
    <row r="339" spans="2:18" s="5" customFormat="1" ht="39" customHeight="1" x14ac:dyDescent="0.25">
      <c r="B339" s="27">
        <v>43990</v>
      </c>
      <c r="C339" s="24" t="s">
        <v>2351</v>
      </c>
      <c r="D339" s="26" t="s">
        <v>3601</v>
      </c>
      <c r="E339" s="26" t="s">
        <v>3626</v>
      </c>
      <c r="F339" s="26" t="s">
        <v>3624</v>
      </c>
      <c r="G339" s="26" t="s">
        <v>3627</v>
      </c>
      <c r="H339" s="26" t="s">
        <v>60</v>
      </c>
      <c r="I339" s="26" t="s">
        <v>19</v>
      </c>
      <c r="J339" s="32">
        <f>3765.39+677.77</f>
        <v>4443.16</v>
      </c>
      <c r="K339" s="32">
        <v>57.432899999999997</v>
      </c>
      <c r="L339" s="33">
        <f t="shared" si="44"/>
        <v>77.362626647792467</v>
      </c>
      <c r="M339" s="26">
        <v>36</v>
      </c>
      <c r="N339" s="37">
        <f t="shared" si="45"/>
        <v>123.4211111111111</v>
      </c>
      <c r="O339" s="38">
        <f t="shared" ca="1" si="43"/>
        <v>44</v>
      </c>
      <c r="P339" s="36">
        <f t="shared" ca="1" si="46"/>
        <v>-987.36888888888825</v>
      </c>
      <c r="Q339" s="36">
        <f t="shared" ca="1" si="42"/>
        <v>1</v>
      </c>
      <c r="R339" s="50" t="s">
        <v>2962</v>
      </c>
    </row>
    <row r="340" spans="2:18" s="5" customFormat="1" ht="36" customHeight="1" x14ac:dyDescent="0.25">
      <c r="B340" s="27">
        <v>43990</v>
      </c>
      <c r="C340" s="24" t="s">
        <v>2351</v>
      </c>
      <c r="D340" s="26" t="s">
        <v>3601</v>
      </c>
      <c r="E340" s="26" t="s">
        <v>3628</v>
      </c>
      <c r="F340" s="26" t="s">
        <v>3629</v>
      </c>
      <c r="G340" s="26" t="s">
        <v>3630</v>
      </c>
      <c r="H340" s="26" t="s">
        <v>60</v>
      </c>
      <c r="I340" s="26" t="s">
        <v>19</v>
      </c>
      <c r="J340" s="32">
        <f>2629.28+473.27</f>
        <v>3102.55</v>
      </c>
      <c r="K340" s="32">
        <v>57.432899999999997</v>
      </c>
      <c r="L340" s="33">
        <f t="shared" si="44"/>
        <v>54.020430798375152</v>
      </c>
      <c r="M340" s="26">
        <v>36</v>
      </c>
      <c r="N340" s="37">
        <f t="shared" si="45"/>
        <v>86.181944444444454</v>
      </c>
      <c r="O340" s="38">
        <f t="shared" ca="1" si="43"/>
        <v>44</v>
      </c>
      <c r="P340" s="36">
        <f t="shared" ca="1" si="46"/>
        <v>-689.45555555555575</v>
      </c>
      <c r="Q340" s="36">
        <f t="shared" ca="1" si="42"/>
        <v>1</v>
      </c>
      <c r="R340" s="50" t="s">
        <v>2962</v>
      </c>
    </row>
    <row r="341" spans="2:18" s="5" customFormat="1" ht="39.75" customHeight="1" x14ac:dyDescent="0.25">
      <c r="B341" s="27">
        <v>43990</v>
      </c>
      <c r="C341" s="24" t="s">
        <v>2351</v>
      </c>
      <c r="D341" s="26" t="s">
        <v>3601</v>
      </c>
      <c r="E341" s="26" t="s">
        <v>3631</v>
      </c>
      <c r="F341" s="26" t="s">
        <v>3629</v>
      </c>
      <c r="G341" s="26" t="s">
        <v>3632</v>
      </c>
      <c r="H341" s="26" t="s">
        <v>60</v>
      </c>
      <c r="I341" s="26" t="s">
        <v>19</v>
      </c>
      <c r="J341" s="32">
        <f>2629.28+473.27</f>
        <v>3102.55</v>
      </c>
      <c r="K341" s="32">
        <v>57.432899999999997</v>
      </c>
      <c r="L341" s="33">
        <f t="shared" si="44"/>
        <v>54.020430798375152</v>
      </c>
      <c r="M341" s="26">
        <v>36</v>
      </c>
      <c r="N341" s="37">
        <f t="shared" si="45"/>
        <v>86.181944444444454</v>
      </c>
      <c r="O341" s="38">
        <f t="shared" ca="1" si="43"/>
        <v>44</v>
      </c>
      <c r="P341" s="36">
        <f t="shared" ca="1" si="46"/>
        <v>-689.45555555555575</v>
      </c>
      <c r="Q341" s="36">
        <f t="shared" ca="1" si="42"/>
        <v>1</v>
      </c>
      <c r="R341" s="50" t="s">
        <v>2962</v>
      </c>
    </row>
    <row r="342" spans="2:18" s="5" customFormat="1" ht="44.25" customHeight="1" x14ac:dyDescent="0.25">
      <c r="B342" s="27">
        <v>43990</v>
      </c>
      <c r="C342" s="24" t="s">
        <v>2351</v>
      </c>
      <c r="D342" s="26" t="s">
        <v>3601</v>
      </c>
      <c r="E342" s="26" t="s">
        <v>3633</v>
      </c>
      <c r="F342" s="26" t="s">
        <v>3634</v>
      </c>
      <c r="G342" s="26" t="s">
        <v>3635</v>
      </c>
      <c r="H342" s="26" t="s">
        <v>60</v>
      </c>
      <c r="I342" s="26" t="s">
        <v>19</v>
      </c>
      <c r="J342" s="32">
        <f>1623.01+292.14</f>
        <v>1915.15</v>
      </c>
      <c r="K342" s="32">
        <v>57.432899999999997</v>
      </c>
      <c r="L342" s="33">
        <f t="shared" si="44"/>
        <v>33.345869701860785</v>
      </c>
      <c r="M342" s="26">
        <v>36</v>
      </c>
      <c r="N342" s="37">
        <f t="shared" si="45"/>
        <v>53.198611111111113</v>
      </c>
      <c r="O342" s="38">
        <f t="shared" ca="1" si="43"/>
        <v>44</v>
      </c>
      <c r="P342" s="36">
        <f t="shared" ca="1" si="46"/>
        <v>-425.58888888888896</v>
      </c>
      <c r="Q342" s="36">
        <f t="shared" ca="1" si="42"/>
        <v>1</v>
      </c>
      <c r="R342" s="50" t="s">
        <v>2962</v>
      </c>
    </row>
    <row r="343" spans="2:18" s="5" customFormat="1" ht="36.75" customHeight="1" x14ac:dyDescent="0.25">
      <c r="B343" s="27">
        <v>43990</v>
      </c>
      <c r="C343" s="24" t="s">
        <v>2351</v>
      </c>
      <c r="D343" s="26" t="s">
        <v>3601</v>
      </c>
      <c r="E343" s="26" t="s">
        <v>3636</v>
      </c>
      <c r="F343" s="26" t="s">
        <v>3634</v>
      </c>
      <c r="G343" s="26" t="s">
        <v>3637</v>
      </c>
      <c r="H343" s="26" t="s">
        <v>60</v>
      </c>
      <c r="I343" s="26" t="s">
        <v>19</v>
      </c>
      <c r="J343" s="32">
        <f>1623.01+292.14</f>
        <v>1915.15</v>
      </c>
      <c r="K343" s="32">
        <v>57.432899999999997</v>
      </c>
      <c r="L343" s="33">
        <f t="shared" si="44"/>
        <v>33.345869701860785</v>
      </c>
      <c r="M343" s="26">
        <v>36</v>
      </c>
      <c r="N343" s="37">
        <f t="shared" si="45"/>
        <v>53.198611111111113</v>
      </c>
      <c r="O343" s="38">
        <f t="shared" ca="1" si="43"/>
        <v>44</v>
      </c>
      <c r="P343" s="36">
        <f t="shared" ca="1" si="46"/>
        <v>-425.58888888888896</v>
      </c>
      <c r="Q343" s="36">
        <f t="shared" ca="1" si="42"/>
        <v>1</v>
      </c>
      <c r="R343" s="50" t="s">
        <v>2962</v>
      </c>
    </row>
    <row r="344" spans="2:18" s="5" customFormat="1" ht="37.5" customHeight="1" x14ac:dyDescent="0.25">
      <c r="B344" s="27">
        <v>43990</v>
      </c>
      <c r="C344" s="24" t="s">
        <v>2351</v>
      </c>
      <c r="D344" s="26" t="s">
        <v>3601</v>
      </c>
      <c r="E344" s="26" t="s">
        <v>3638</v>
      </c>
      <c r="F344" s="26" t="s">
        <v>3634</v>
      </c>
      <c r="G344" s="26" t="s">
        <v>3639</v>
      </c>
      <c r="H344" s="26" t="s">
        <v>60</v>
      </c>
      <c r="I344" s="26" t="s">
        <v>19</v>
      </c>
      <c r="J344" s="32">
        <f>1623.01+292.14</f>
        <v>1915.15</v>
      </c>
      <c r="K344" s="32">
        <v>57.432899999999997</v>
      </c>
      <c r="L344" s="33">
        <f t="shared" si="44"/>
        <v>33.345869701860785</v>
      </c>
      <c r="M344" s="26">
        <v>36</v>
      </c>
      <c r="N344" s="37">
        <f t="shared" si="45"/>
        <v>53.198611111111113</v>
      </c>
      <c r="O344" s="38">
        <f t="shared" ca="1" si="43"/>
        <v>44</v>
      </c>
      <c r="P344" s="36">
        <f t="shared" ca="1" si="46"/>
        <v>-425.58888888888896</v>
      </c>
      <c r="Q344" s="36">
        <f t="shared" ca="1" si="42"/>
        <v>1</v>
      </c>
      <c r="R344" s="50" t="s">
        <v>2962</v>
      </c>
    </row>
    <row r="345" spans="2:18" s="5" customFormat="1" ht="44.25" customHeight="1" x14ac:dyDescent="0.25">
      <c r="B345" s="27">
        <v>43990</v>
      </c>
      <c r="C345" s="24" t="s">
        <v>2351</v>
      </c>
      <c r="D345" s="26" t="s">
        <v>3601</v>
      </c>
      <c r="E345" s="26" t="s">
        <v>3640</v>
      </c>
      <c r="F345" s="26" t="s">
        <v>3641</v>
      </c>
      <c r="G345" s="26" t="s">
        <v>28</v>
      </c>
      <c r="H345" s="26" t="s">
        <v>60</v>
      </c>
      <c r="I345" s="26" t="s">
        <v>19</v>
      </c>
      <c r="J345" s="32">
        <f>11701.91+2106.35</f>
        <v>13808.26</v>
      </c>
      <c r="K345" s="32">
        <v>57.432899999999997</v>
      </c>
      <c r="L345" s="33">
        <f t="shared" si="44"/>
        <v>240.42421678167045</v>
      </c>
      <c r="M345" s="26">
        <v>36</v>
      </c>
      <c r="N345" s="37">
        <f t="shared" si="45"/>
        <v>383.5627777777778</v>
      </c>
      <c r="O345" s="38">
        <f t="shared" ca="1" si="43"/>
        <v>44</v>
      </c>
      <c r="P345" s="36">
        <f t="shared" ca="1" si="46"/>
        <v>-3068.5022222222233</v>
      </c>
      <c r="Q345" s="36">
        <f t="shared" ca="1" si="42"/>
        <v>1</v>
      </c>
      <c r="R345" s="50" t="s">
        <v>2962</v>
      </c>
    </row>
    <row r="346" spans="2:18" s="5" customFormat="1" ht="51.75" customHeight="1" x14ac:dyDescent="0.25">
      <c r="B346" s="27">
        <v>43990</v>
      </c>
      <c r="C346" s="24" t="s">
        <v>2351</v>
      </c>
      <c r="D346" s="26" t="s">
        <v>3601</v>
      </c>
      <c r="E346" s="26" t="s">
        <v>3642</v>
      </c>
      <c r="F346" s="26" t="s">
        <v>3643</v>
      </c>
      <c r="G346" s="26" t="s">
        <v>28</v>
      </c>
      <c r="H346" s="26" t="s">
        <v>60</v>
      </c>
      <c r="I346" s="26" t="s">
        <v>19</v>
      </c>
      <c r="J346" s="32">
        <f>2059.98+370.8</f>
        <v>2430.7800000000002</v>
      </c>
      <c r="K346" s="32">
        <v>57.432899999999997</v>
      </c>
      <c r="L346" s="33">
        <f t="shared" si="44"/>
        <v>42.323824846037731</v>
      </c>
      <c r="M346" s="26">
        <v>36</v>
      </c>
      <c r="N346" s="37">
        <f t="shared" si="45"/>
        <v>67.521666666666675</v>
      </c>
      <c r="O346" s="38">
        <f t="shared" ca="1" si="43"/>
        <v>44</v>
      </c>
      <c r="P346" s="36">
        <f t="shared" ca="1" si="46"/>
        <v>-540.17333333333363</v>
      </c>
      <c r="Q346" s="36">
        <f t="shared" ca="1" si="42"/>
        <v>1</v>
      </c>
      <c r="R346" s="50" t="s">
        <v>2962</v>
      </c>
    </row>
    <row r="347" spans="2:18" s="5" customFormat="1" ht="53.25" customHeight="1" x14ac:dyDescent="0.25">
      <c r="B347" s="27">
        <v>43990</v>
      </c>
      <c r="C347" s="24" t="s">
        <v>2351</v>
      </c>
      <c r="D347" s="26" t="s">
        <v>3601</v>
      </c>
      <c r="E347" s="26" t="s">
        <v>3644</v>
      </c>
      <c r="F347" s="26" t="s">
        <v>3643</v>
      </c>
      <c r="G347" s="26" t="s">
        <v>28</v>
      </c>
      <c r="H347" s="26" t="s">
        <v>60</v>
      </c>
      <c r="I347" s="26" t="s">
        <v>19</v>
      </c>
      <c r="J347" s="32">
        <f>2059.98+370.8</f>
        <v>2430.7800000000002</v>
      </c>
      <c r="K347" s="32">
        <v>57.432899999999997</v>
      </c>
      <c r="L347" s="33">
        <f t="shared" si="44"/>
        <v>42.323824846037731</v>
      </c>
      <c r="M347" s="26">
        <v>36</v>
      </c>
      <c r="N347" s="37">
        <f t="shared" si="45"/>
        <v>67.521666666666675</v>
      </c>
      <c r="O347" s="38">
        <f t="shared" ca="1" si="43"/>
        <v>44</v>
      </c>
      <c r="P347" s="36">
        <f t="shared" ca="1" si="46"/>
        <v>-540.17333333333363</v>
      </c>
      <c r="Q347" s="36">
        <f t="shared" ca="1" si="42"/>
        <v>1</v>
      </c>
      <c r="R347" s="50" t="s">
        <v>2962</v>
      </c>
    </row>
    <row r="348" spans="2:18" s="5" customFormat="1" ht="33.75" customHeight="1" x14ac:dyDescent="0.25">
      <c r="B348" s="27">
        <v>43990</v>
      </c>
      <c r="C348" s="24" t="s">
        <v>2351</v>
      </c>
      <c r="D348" s="26" t="s">
        <v>3601</v>
      </c>
      <c r="E348" s="26" t="s">
        <v>3645</v>
      </c>
      <c r="F348" s="26" t="s">
        <v>3646</v>
      </c>
      <c r="G348" s="26" t="s">
        <v>28</v>
      </c>
      <c r="H348" s="26" t="s">
        <v>60</v>
      </c>
      <c r="I348" s="26" t="s">
        <v>19</v>
      </c>
      <c r="J348" s="32">
        <f>458.8+82.584</f>
        <v>541.38400000000001</v>
      </c>
      <c r="K348" s="32">
        <v>57.432899999999997</v>
      </c>
      <c r="L348" s="33">
        <f t="shared" si="44"/>
        <v>9.4263740817545347</v>
      </c>
      <c r="M348" s="26">
        <v>36</v>
      </c>
      <c r="N348" s="37">
        <f t="shared" si="45"/>
        <v>15.038444444444444</v>
      </c>
      <c r="O348" s="38">
        <f t="shared" ca="1" si="43"/>
        <v>44</v>
      </c>
      <c r="P348" s="36">
        <f t="shared" ca="1" si="46"/>
        <v>-120.3075555555555</v>
      </c>
      <c r="Q348" s="36">
        <f t="shared" ca="1" si="42"/>
        <v>1</v>
      </c>
      <c r="R348" s="50" t="s">
        <v>2962</v>
      </c>
    </row>
    <row r="349" spans="2:18" s="5" customFormat="1" ht="61.5" customHeight="1" x14ac:dyDescent="0.25">
      <c r="B349" s="27">
        <v>43990</v>
      </c>
      <c r="C349" s="24" t="s">
        <v>2351</v>
      </c>
      <c r="D349" s="26" t="s">
        <v>3647</v>
      </c>
      <c r="E349" s="26" t="s">
        <v>3648</v>
      </c>
      <c r="F349" s="26" t="s">
        <v>3649</v>
      </c>
      <c r="G349" s="26" t="s">
        <v>3650</v>
      </c>
      <c r="H349" s="26" t="s">
        <v>3651</v>
      </c>
      <c r="I349" s="26" t="s">
        <v>19</v>
      </c>
      <c r="J349" s="32">
        <f>57167.06+10290.0708</f>
        <v>67457.130799999999</v>
      </c>
      <c r="K349" s="32">
        <v>57.432899999999997</v>
      </c>
      <c r="L349" s="33">
        <f t="shared" si="44"/>
        <v>1174.5381271013653</v>
      </c>
      <c r="M349" s="26">
        <v>36</v>
      </c>
      <c r="N349" s="37">
        <f t="shared" si="45"/>
        <v>1873.8091888888889</v>
      </c>
      <c r="O349" s="38">
        <f t="shared" ca="1" si="43"/>
        <v>44</v>
      </c>
      <c r="P349" s="36">
        <f t="shared" ca="1" si="46"/>
        <v>-14990.473511111108</v>
      </c>
      <c r="Q349" s="36">
        <f t="shared" ca="1" si="42"/>
        <v>1</v>
      </c>
      <c r="R349" s="50" t="s">
        <v>2713</v>
      </c>
    </row>
    <row r="350" spans="2:18" s="5" customFormat="1" ht="60" customHeight="1" x14ac:dyDescent="0.25">
      <c r="B350" s="27">
        <v>43990</v>
      </c>
      <c r="C350" s="24" t="s">
        <v>2351</v>
      </c>
      <c r="D350" s="26" t="s">
        <v>3647</v>
      </c>
      <c r="E350" s="26" t="s">
        <v>3652</v>
      </c>
      <c r="F350" s="26" t="s">
        <v>3649</v>
      </c>
      <c r="G350" s="26" t="s">
        <v>3653</v>
      </c>
      <c r="H350" s="26" t="s">
        <v>60</v>
      </c>
      <c r="I350" s="26" t="s">
        <v>19</v>
      </c>
      <c r="J350" s="32">
        <f t="shared" ref="J350:J355" si="47">57167.06+10290.0708</f>
        <v>67457.130799999999</v>
      </c>
      <c r="K350" s="32">
        <v>57.432899999999997</v>
      </c>
      <c r="L350" s="33">
        <f t="shared" ref="L350:L355" si="48">+J350/K350</f>
        <v>1174.5381271013653</v>
      </c>
      <c r="M350" s="26">
        <v>36</v>
      </c>
      <c r="N350" s="37">
        <f t="shared" ref="N350:N362" si="49">IF(AND(J350&lt;&gt;0,M350&lt;&gt;0),J350/M350,0)</f>
        <v>1873.8091888888889</v>
      </c>
      <c r="O350" s="38">
        <f t="shared" ref="O350:O384" ca="1" si="50">IF(B350&lt;&gt;0,(ROUND((NOW()-B350)/30,0)),0)</f>
        <v>44</v>
      </c>
      <c r="P350" s="36">
        <f t="shared" ca="1" si="46"/>
        <v>-14990.473511111108</v>
      </c>
      <c r="Q350" s="36">
        <f t="shared" ca="1" si="42"/>
        <v>1</v>
      </c>
      <c r="R350" s="50" t="s">
        <v>2713</v>
      </c>
    </row>
    <row r="351" spans="2:18" s="5" customFormat="1" ht="52.5" customHeight="1" x14ac:dyDescent="0.25">
      <c r="B351" s="27">
        <v>43990</v>
      </c>
      <c r="C351" s="24" t="s">
        <v>2351</v>
      </c>
      <c r="D351" s="26" t="s">
        <v>3647</v>
      </c>
      <c r="E351" s="26" t="s">
        <v>3654</v>
      </c>
      <c r="F351" s="26" t="s">
        <v>3649</v>
      </c>
      <c r="G351" s="26" t="s">
        <v>3655</v>
      </c>
      <c r="H351" s="26" t="s">
        <v>3656</v>
      </c>
      <c r="I351" s="26" t="s">
        <v>19</v>
      </c>
      <c r="J351" s="32">
        <f t="shared" si="47"/>
        <v>67457.130799999999</v>
      </c>
      <c r="K351" s="32">
        <v>57.432899999999997</v>
      </c>
      <c r="L351" s="33">
        <f t="shared" si="48"/>
        <v>1174.5381271013653</v>
      </c>
      <c r="M351" s="26">
        <v>36</v>
      </c>
      <c r="N351" s="37">
        <f t="shared" si="49"/>
        <v>1873.8091888888889</v>
      </c>
      <c r="O351" s="38">
        <f t="shared" ca="1" si="50"/>
        <v>44</v>
      </c>
      <c r="P351" s="36">
        <f t="shared" ca="1" si="46"/>
        <v>-14990.473511111108</v>
      </c>
      <c r="Q351" s="36">
        <f t="shared" ca="1" si="42"/>
        <v>1</v>
      </c>
      <c r="R351" s="50" t="s">
        <v>2713</v>
      </c>
    </row>
    <row r="352" spans="2:18" s="5" customFormat="1" ht="51.75" customHeight="1" x14ac:dyDescent="0.25">
      <c r="B352" s="27">
        <v>43990</v>
      </c>
      <c r="C352" s="24" t="s">
        <v>2351</v>
      </c>
      <c r="D352" s="26" t="s">
        <v>3647</v>
      </c>
      <c r="E352" s="26" t="s">
        <v>3657</v>
      </c>
      <c r="F352" s="26" t="s">
        <v>3649</v>
      </c>
      <c r="G352" s="26" t="s">
        <v>3658</v>
      </c>
      <c r="H352" s="26" t="s">
        <v>3659</v>
      </c>
      <c r="I352" s="26" t="s">
        <v>19</v>
      </c>
      <c r="J352" s="32">
        <f t="shared" si="47"/>
        <v>67457.130799999999</v>
      </c>
      <c r="K352" s="32">
        <v>57.432899999999997</v>
      </c>
      <c r="L352" s="33">
        <f t="shared" si="48"/>
        <v>1174.5381271013653</v>
      </c>
      <c r="M352" s="26">
        <v>36</v>
      </c>
      <c r="N352" s="37">
        <f t="shared" si="49"/>
        <v>1873.8091888888889</v>
      </c>
      <c r="O352" s="38">
        <f t="shared" ca="1" si="50"/>
        <v>44</v>
      </c>
      <c r="P352" s="36">
        <f t="shared" ca="1" si="46"/>
        <v>-14990.473511111108</v>
      </c>
      <c r="Q352" s="36">
        <f t="shared" ca="1" si="42"/>
        <v>1</v>
      </c>
      <c r="R352" s="50" t="s">
        <v>2713</v>
      </c>
    </row>
    <row r="353" spans="1:19" s="5" customFormat="1" ht="55.5" customHeight="1" x14ac:dyDescent="0.25">
      <c r="B353" s="27">
        <v>43990</v>
      </c>
      <c r="C353" s="24" t="s">
        <v>2351</v>
      </c>
      <c r="D353" s="26" t="s">
        <v>3647</v>
      </c>
      <c r="E353" s="26" t="s">
        <v>3660</v>
      </c>
      <c r="F353" s="26" t="s">
        <v>3649</v>
      </c>
      <c r="G353" s="26" t="s">
        <v>3661</v>
      </c>
      <c r="H353" s="26" t="s">
        <v>3662</v>
      </c>
      <c r="I353" s="26" t="s">
        <v>19</v>
      </c>
      <c r="J353" s="32">
        <f t="shared" si="47"/>
        <v>67457.130799999999</v>
      </c>
      <c r="K353" s="32">
        <v>57.432899999999997</v>
      </c>
      <c r="L353" s="33">
        <f t="shared" si="48"/>
        <v>1174.5381271013653</v>
      </c>
      <c r="M353" s="26">
        <v>36</v>
      </c>
      <c r="N353" s="37">
        <f t="shared" si="49"/>
        <v>1873.8091888888889</v>
      </c>
      <c r="O353" s="38">
        <f t="shared" ca="1" si="50"/>
        <v>44</v>
      </c>
      <c r="P353" s="36">
        <f t="shared" ca="1" si="46"/>
        <v>-14990.473511111108</v>
      </c>
      <c r="Q353" s="36">
        <f t="shared" ca="1" si="42"/>
        <v>1</v>
      </c>
      <c r="R353" s="50" t="s">
        <v>2713</v>
      </c>
    </row>
    <row r="354" spans="1:19" s="5" customFormat="1" ht="56.25" customHeight="1" x14ac:dyDescent="0.25">
      <c r="B354" s="27">
        <v>43990</v>
      </c>
      <c r="C354" s="24" t="s">
        <v>2351</v>
      </c>
      <c r="D354" s="26" t="s">
        <v>3647</v>
      </c>
      <c r="E354" s="26" t="s">
        <v>3663</v>
      </c>
      <c r="F354" s="26" t="s">
        <v>3649</v>
      </c>
      <c r="G354" s="26" t="s">
        <v>3664</v>
      </c>
      <c r="H354" s="26" t="s">
        <v>60</v>
      </c>
      <c r="I354" s="26" t="s">
        <v>19</v>
      </c>
      <c r="J354" s="32">
        <f t="shared" si="47"/>
        <v>67457.130799999999</v>
      </c>
      <c r="K354" s="32">
        <v>57.432899999999997</v>
      </c>
      <c r="L354" s="33">
        <f t="shared" si="48"/>
        <v>1174.5381271013653</v>
      </c>
      <c r="M354" s="26">
        <v>36</v>
      </c>
      <c r="N354" s="37">
        <f t="shared" si="49"/>
        <v>1873.8091888888889</v>
      </c>
      <c r="O354" s="38">
        <f t="shared" ca="1" si="50"/>
        <v>44</v>
      </c>
      <c r="P354" s="36">
        <f t="shared" ca="1" si="46"/>
        <v>-14990.473511111108</v>
      </c>
      <c r="Q354" s="36">
        <f t="shared" ca="1" si="42"/>
        <v>1</v>
      </c>
      <c r="R354" s="50" t="s">
        <v>2713</v>
      </c>
    </row>
    <row r="355" spans="1:19" s="5" customFormat="1" ht="63.75" customHeight="1" x14ac:dyDescent="0.25">
      <c r="B355" s="27">
        <v>43990</v>
      </c>
      <c r="C355" s="24" t="s">
        <v>2351</v>
      </c>
      <c r="D355" s="26" t="s">
        <v>3647</v>
      </c>
      <c r="E355" s="26" t="s">
        <v>3665</v>
      </c>
      <c r="F355" s="26" t="s">
        <v>3649</v>
      </c>
      <c r="G355" s="26" t="s">
        <v>3666</v>
      </c>
      <c r="H355" s="26" t="s">
        <v>3667</v>
      </c>
      <c r="I355" s="26" t="s">
        <v>19</v>
      </c>
      <c r="J355" s="32">
        <f t="shared" si="47"/>
        <v>67457.130799999999</v>
      </c>
      <c r="K355" s="32">
        <v>57.432899999999997</v>
      </c>
      <c r="L355" s="33">
        <f t="shared" si="48"/>
        <v>1174.5381271013653</v>
      </c>
      <c r="M355" s="26">
        <v>36</v>
      </c>
      <c r="N355" s="37">
        <f t="shared" si="49"/>
        <v>1873.8091888888889</v>
      </c>
      <c r="O355" s="38">
        <f t="shared" ca="1" si="50"/>
        <v>44</v>
      </c>
      <c r="P355" s="36">
        <f t="shared" ca="1" si="46"/>
        <v>-14990.473511111108</v>
      </c>
      <c r="Q355" s="36">
        <f t="shared" ca="1" si="42"/>
        <v>1</v>
      </c>
      <c r="R355" s="50" t="s">
        <v>2713</v>
      </c>
    </row>
    <row r="356" spans="1:19" s="5" customFormat="1" ht="42.75" customHeight="1" x14ac:dyDescent="0.25">
      <c r="B356" s="468" t="s">
        <v>3669</v>
      </c>
      <c r="C356" s="24" t="s">
        <v>2351</v>
      </c>
      <c r="D356" s="26" t="s">
        <v>3670</v>
      </c>
      <c r="E356" s="26" t="s">
        <v>3671</v>
      </c>
      <c r="F356" s="26" t="s">
        <v>3672</v>
      </c>
      <c r="G356" s="26" t="s">
        <v>3673</v>
      </c>
      <c r="H356" s="26" t="s">
        <v>60</v>
      </c>
      <c r="I356" s="26" t="s">
        <v>19</v>
      </c>
      <c r="J356" s="32">
        <v>14673.3</v>
      </c>
      <c r="K356" s="32">
        <v>57.43</v>
      </c>
      <c r="L356" s="33">
        <f t="shared" ref="L356:L625" si="51">J356/K356</f>
        <v>255.49886818735851</v>
      </c>
      <c r="M356" s="26">
        <v>36</v>
      </c>
      <c r="N356" s="37">
        <f t="shared" si="49"/>
        <v>407.59166666666664</v>
      </c>
      <c r="O356" s="38">
        <f t="shared" ca="1" si="50"/>
        <v>41</v>
      </c>
      <c r="P356" s="36">
        <f t="shared" ca="1" si="46"/>
        <v>-2037.9583333333321</v>
      </c>
      <c r="Q356" s="36">
        <f t="shared" ca="1" si="42"/>
        <v>1</v>
      </c>
      <c r="R356" s="50" t="s">
        <v>3674</v>
      </c>
    </row>
    <row r="357" spans="1:19" s="5" customFormat="1" ht="41.25" customHeight="1" x14ac:dyDescent="0.25">
      <c r="B357" s="468" t="s">
        <v>3669</v>
      </c>
      <c r="C357" s="24" t="s">
        <v>2351</v>
      </c>
      <c r="D357" s="26" t="s">
        <v>3670</v>
      </c>
      <c r="E357" s="26" t="s">
        <v>3675</v>
      </c>
      <c r="F357" s="26" t="s">
        <v>3672</v>
      </c>
      <c r="G357" s="26" t="s">
        <v>3673</v>
      </c>
      <c r="H357" s="26" t="s">
        <v>60</v>
      </c>
      <c r="I357" s="26" t="s">
        <v>19</v>
      </c>
      <c r="J357" s="32">
        <v>14673.3</v>
      </c>
      <c r="K357" s="32">
        <v>57.43</v>
      </c>
      <c r="L357" s="33">
        <f t="shared" si="51"/>
        <v>255.49886818735851</v>
      </c>
      <c r="M357" s="26">
        <v>36</v>
      </c>
      <c r="N357" s="37">
        <f t="shared" si="49"/>
        <v>407.59166666666664</v>
      </c>
      <c r="O357" s="38">
        <f t="shared" ca="1" si="50"/>
        <v>41</v>
      </c>
      <c r="P357" s="36">
        <f t="shared" ca="1" si="46"/>
        <v>-2037.9583333333321</v>
      </c>
      <c r="Q357" s="36">
        <f t="shared" ca="1" si="42"/>
        <v>1</v>
      </c>
      <c r="R357" s="50" t="s">
        <v>3674</v>
      </c>
    </row>
    <row r="358" spans="1:19" s="5" customFormat="1" ht="52.5" customHeight="1" x14ac:dyDescent="0.25">
      <c r="A358" s="45"/>
      <c r="B358" s="28">
        <v>44146</v>
      </c>
      <c r="C358" s="59" t="s">
        <v>2351</v>
      </c>
      <c r="D358" s="29" t="s">
        <v>3676</v>
      </c>
      <c r="E358" s="29" t="s">
        <v>3677</v>
      </c>
      <c r="F358" s="766" t="s">
        <v>4109</v>
      </c>
      <c r="G358" s="29" t="s">
        <v>3678</v>
      </c>
      <c r="H358" s="29" t="s">
        <v>3679</v>
      </c>
      <c r="I358" s="29" t="s">
        <v>19</v>
      </c>
      <c r="J358" s="39">
        <v>78506.25</v>
      </c>
      <c r="K358" s="39">
        <v>57.43</v>
      </c>
      <c r="L358" s="40">
        <f t="shared" si="51"/>
        <v>1366.9902489987812</v>
      </c>
      <c r="M358" s="29">
        <v>60</v>
      </c>
      <c r="N358" s="41">
        <f t="shared" si="49"/>
        <v>1308.4375</v>
      </c>
      <c r="O358" s="42">
        <f t="shared" ca="1" si="50"/>
        <v>39</v>
      </c>
      <c r="P358" s="36">
        <f t="shared" ca="1" si="46"/>
        <v>27477.1875</v>
      </c>
      <c r="Q358" s="43">
        <f t="shared" ca="1" si="42"/>
        <v>27477.1875</v>
      </c>
      <c r="R358" s="635" t="s">
        <v>3680</v>
      </c>
      <c r="S358" s="45"/>
    </row>
    <row r="359" spans="1:19" s="5" customFormat="1" ht="51.75" customHeight="1" x14ac:dyDescent="0.25">
      <c r="A359" s="45"/>
      <c r="B359" s="28">
        <v>44146</v>
      </c>
      <c r="C359" s="59" t="s">
        <v>2351</v>
      </c>
      <c r="D359" s="29" t="s">
        <v>3676</v>
      </c>
      <c r="E359" s="29" t="s">
        <v>3681</v>
      </c>
      <c r="F359" s="766" t="s">
        <v>4108</v>
      </c>
      <c r="G359" s="29" t="s">
        <v>3682</v>
      </c>
      <c r="H359" s="29" t="s">
        <v>3679</v>
      </c>
      <c r="I359" s="29" t="s">
        <v>19</v>
      </c>
      <c r="J359" s="39">
        <v>78506.25</v>
      </c>
      <c r="K359" s="39">
        <v>57.43</v>
      </c>
      <c r="L359" s="40">
        <f>J359/K359</f>
        <v>1366.9902489987812</v>
      </c>
      <c r="M359" s="29">
        <v>60</v>
      </c>
      <c r="N359" s="41">
        <f t="shared" si="49"/>
        <v>1308.4375</v>
      </c>
      <c r="O359" s="42">
        <f t="shared" ca="1" si="50"/>
        <v>39</v>
      </c>
      <c r="P359" s="36">
        <f t="shared" ca="1" si="46"/>
        <v>27477.1875</v>
      </c>
      <c r="Q359" s="43">
        <f t="shared" ca="1" si="42"/>
        <v>27477.1875</v>
      </c>
      <c r="R359" s="635" t="s">
        <v>3680</v>
      </c>
      <c r="S359" s="45"/>
    </row>
    <row r="360" spans="1:19" s="5" customFormat="1" ht="29.25" customHeight="1" x14ac:dyDescent="0.25">
      <c r="B360" s="28">
        <v>44186</v>
      </c>
      <c r="C360" s="24" t="s">
        <v>2351</v>
      </c>
      <c r="D360" s="29" t="s">
        <v>3683</v>
      </c>
      <c r="E360" s="29" t="s">
        <v>3684</v>
      </c>
      <c r="F360" s="29" t="s">
        <v>3685</v>
      </c>
      <c r="G360" s="29" t="s">
        <v>3686</v>
      </c>
      <c r="H360" s="29" t="s">
        <v>3687</v>
      </c>
      <c r="I360" s="29" t="s">
        <v>19</v>
      </c>
      <c r="J360" s="39">
        <v>512661.38</v>
      </c>
      <c r="K360" s="39">
        <f>K359</f>
        <v>57.43</v>
      </c>
      <c r="L360" s="40">
        <f t="shared" si="51"/>
        <v>8926.717395089674</v>
      </c>
      <c r="M360" s="29">
        <v>12</v>
      </c>
      <c r="N360" s="41">
        <f t="shared" si="49"/>
        <v>42721.781666666669</v>
      </c>
      <c r="O360" s="42">
        <f t="shared" ca="1" si="50"/>
        <v>37</v>
      </c>
      <c r="P360" s="36">
        <f t="shared" ca="1" si="46"/>
        <v>-1068044.541666667</v>
      </c>
      <c r="Q360" s="36">
        <f t="shared" ca="1" si="42"/>
        <v>1</v>
      </c>
      <c r="R360" s="635" t="s">
        <v>3668</v>
      </c>
    </row>
    <row r="361" spans="1:19" s="5" customFormat="1" ht="33" customHeight="1" x14ac:dyDescent="0.25">
      <c r="B361" s="28">
        <v>44186</v>
      </c>
      <c r="C361" s="24" t="s">
        <v>2351</v>
      </c>
      <c r="D361" s="29" t="s">
        <v>3688</v>
      </c>
      <c r="E361" s="29" t="s">
        <v>3689</v>
      </c>
      <c r="F361" s="29" t="s">
        <v>3690</v>
      </c>
      <c r="G361" s="29" t="s">
        <v>3691</v>
      </c>
      <c r="H361" s="29" t="s">
        <v>3687</v>
      </c>
      <c r="I361" s="29" t="s">
        <v>19</v>
      </c>
      <c r="J361" s="39">
        <v>42726.09</v>
      </c>
      <c r="K361" s="39">
        <v>57.43</v>
      </c>
      <c r="L361" s="40">
        <f t="shared" si="51"/>
        <v>743.96813512101687</v>
      </c>
      <c r="M361" s="29">
        <v>12</v>
      </c>
      <c r="N361" s="41">
        <f t="shared" si="49"/>
        <v>3560.5074999999997</v>
      </c>
      <c r="O361" s="42">
        <f t="shared" ca="1" si="50"/>
        <v>37</v>
      </c>
      <c r="P361" s="36">
        <f t="shared" ca="1" si="46"/>
        <v>-89012.6875</v>
      </c>
      <c r="Q361" s="36">
        <f t="shared" ca="1" si="42"/>
        <v>1</v>
      </c>
      <c r="R361" s="635" t="s">
        <v>3668</v>
      </c>
    </row>
    <row r="362" spans="1:19" s="5" customFormat="1" ht="54.75" customHeight="1" x14ac:dyDescent="0.25">
      <c r="B362" s="28">
        <v>44186</v>
      </c>
      <c r="C362" s="24" t="s">
        <v>2351</v>
      </c>
      <c r="D362" s="29" t="s">
        <v>3683</v>
      </c>
      <c r="E362" s="29" t="s">
        <v>3692</v>
      </c>
      <c r="F362" s="29" t="s">
        <v>3693</v>
      </c>
      <c r="G362" s="29" t="s">
        <v>3693</v>
      </c>
      <c r="H362" s="29" t="s">
        <v>3687</v>
      </c>
      <c r="I362" s="29" t="s">
        <v>19</v>
      </c>
      <c r="J362" s="39">
        <v>99551.7</v>
      </c>
      <c r="K362" s="39">
        <v>57.43</v>
      </c>
      <c r="L362" s="40">
        <f t="shared" si="51"/>
        <v>1733.444192930524</v>
      </c>
      <c r="M362" s="29">
        <v>12</v>
      </c>
      <c r="N362" s="41">
        <f t="shared" si="49"/>
        <v>8295.9750000000004</v>
      </c>
      <c r="O362" s="42">
        <f t="shared" ca="1" si="50"/>
        <v>37</v>
      </c>
      <c r="P362" s="36">
        <f t="shared" ca="1" si="46"/>
        <v>-207399.375</v>
      </c>
      <c r="Q362" s="36">
        <f t="shared" ca="1" si="42"/>
        <v>1</v>
      </c>
      <c r="R362" s="635" t="s">
        <v>3668</v>
      </c>
    </row>
    <row r="363" spans="1:19" s="5" customFormat="1" ht="61.5" customHeight="1" x14ac:dyDescent="0.25">
      <c r="B363" s="51">
        <v>44186</v>
      </c>
      <c r="C363" s="24" t="s">
        <v>2351</v>
      </c>
      <c r="D363" s="52" t="s">
        <v>3683</v>
      </c>
      <c r="E363" s="29" t="s">
        <v>3694</v>
      </c>
      <c r="F363" s="52" t="s">
        <v>3695</v>
      </c>
      <c r="G363" s="52" t="s">
        <v>3696</v>
      </c>
      <c r="H363" s="52" t="s">
        <v>3687</v>
      </c>
      <c r="I363" s="52" t="s">
        <v>19</v>
      </c>
      <c r="J363" s="55">
        <v>186497.11</v>
      </c>
      <c r="K363" s="55">
        <v>57.43</v>
      </c>
      <c r="L363" s="56">
        <f t="shared" si="51"/>
        <v>3247.3813337976667</v>
      </c>
      <c r="M363" s="52">
        <v>12</v>
      </c>
      <c r="N363" s="41">
        <f t="shared" ref="N363:N368" si="52">J363/M363</f>
        <v>15541.425833333333</v>
      </c>
      <c r="O363" s="42">
        <f t="shared" ca="1" si="50"/>
        <v>37</v>
      </c>
      <c r="P363" s="36">
        <f t="shared" ca="1" si="46"/>
        <v>-388535.64583333337</v>
      </c>
      <c r="Q363" s="36">
        <f t="shared" ca="1" si="42"/>
        <v>1</v>
      </c>
      <c r="R363" s="635" t="s">
        <v>3668</v>
      </c>
    </row>
    <row r="364" spans="1:19" s="5" customFormat="1" ht="150" customHeight="1" x14ac:dyDescent="0.25">
      <c r="B364" s="51">
        <v>44204</v>
      </c>
      <c r="C364" s="24" t="s">
        <v>2351</v>
      </c>
      <c r="D364" s="52" t="s">
        <v>3697</v>
      </c>
      <c r="E364" s="29" t="s">
        <v>3698</v>
      </c>
      <c r="F364" s="52" t="s">
        <v>3699</v>
      </c>
      <c r="G364" s="52" t="s">
        <v>3700</v>
      </c>
      <c r="H364" s="52" t="s">
        <v>3687</v>
      </c>
      <c r="I364" s="52" t="s">
        <v>19</v>
      </c>
      <c r="J364" s="55">
        <v>385882.66</v>
      </c>
      <c r="K364" s="55">
        <v>58.1892</v>
      </c>
      <c r="L364" s="56">
        <f t="shared" si="51"/>
        <v>6631.5168450502842</v>
      </c>
      <c r="M364" s="52">
        <v>36</v>
      </c>
      <c r="N364" s="41">
        <f t="shared" si="52"/>
        <v>10718.962777777777</v>
      </c>
      <c r="O364" s="42">
        <f t="shared" ca="1" si="50"/>
        <v>37</v>
      </c>
      <c r="P364" s="36">
        <f t="shared" ca="1" si="46"/>
        <v>-10718.96277777775</v>
      </c>
      <c r="Q364" s="36">
        <f t="shared" ca="1" si="42"/>
        <v>1</v>
      </c>
      <c r="R364" s="635" t="s">
        <v>1328</v>
      </c>
    </row>
    <row r="365" spans="1:19" s="5" customFormat="1" ht="125.25" customHeight="1" x14ac:dyDescent="0.25">
      <c r="B365" s="51">
        <v>44207</v>
      </c>
      <c r="C365" s="24" t="s">
        <v>2351</v>
      </c>
      <c r="D365" s="52" t="s">
        <v>3701</v>
      </c>
      <c r="E365" s="29" t="s">
        <v>3702</v>
      </c>
      <c r="F365" s="52" t="s">
        <v>3703</v>
      </c>
      <c r="G365" s="52" t="s">
        <v>3704</v>
      </c>
      <c r="H365" s="52" t="s">
        <v>3687</v>
      </c>
      <c r="I365" s="52" t="s">
        <v>19</v>
      </c>
      <c r="J365" s="55">
        <v>157370.26</v>
      </c>
      <c r="K365" s="55">
        <v>58.252200000000002</v>
      </c>
      <c r="L365" s="56">
        <f t="shared" si="51"/>
        <v>2701.5333326466639</v>
      </c>
      <c r="M365" s="52">
        <v>12</v>
      </c>
      <c r="N365" s="41">
        <f t="shared" si="52"/>
        <v>13114.188333333334</v>
      </c>
      <c r="O365" s="42">
        <f t="shared" ca="1" si="50"/>
        <v>36</v>
      </c>
      <c r="P365" s="36">
        <f t="shared" ca="1" si="46"/>
        <v>-314740.52</v>
      </c>
      <c r="Q365" s="36">
        <f t="shared" ca="1" si="42"/>
        <v>1</v>
      </c>
      <c r="R365" s="635" t="s">
        <v>3668</v>
      </c>
    </row>
    <row r="366" spans="1:19" s="5" customFormat="1" ht="65.25" customHeight="1" x14ac:dyDescent="0.25">
      <c r="B366" s="51">
        <v>44222</v>
      </c>
      <c r="C366" s="24" t="s">
        <v>2351</v>
      </c>
      <c r="D366" s="52" t="s">
        <v>3705</v>
      </c>
      <c r="E366" s="29" t="s">
        <v>3706</v>
      </c>
      <c r="F366" s="52" t="s">
        <v>3707</v>
      </c>
      <c r="G366" s="52" t="s">
        <v>3708</v>
      </c>
      <c r="H366" s="53" t="s">
        <v>3687</v>
      </c>
      <c r="I366" s="52" t="s">
        <v>19</v>
      </c>
      <c r="J366" s="55">
        <v>29170.14</v>
      </c>
      <c r="K366" s="55">
        <v>57.983199999999997</v>
      </c>
      <c r="L366" s="56">
        <f t="shared" si="51"/>
        <v>503.0791677589371</v>
      </c>
      <c r="M366" s="52">
        <v>12</v>
      </c>
      <c r="N366" s="41">
        <f t="shared" si="52"/>
        <v>2430.8449999999998</v>
      </c>
      <c r="O366" s="42">
        <f t="shared" ca="1" si="50"/>
        <v>36</v>
      </c>
      <c r="P366" s="36">
        <f t="shared" ca="1" si="46"/>
        <v>-58340.28</v>
      </c>
      <c r="Q366" s="36">
        <f t="shared" ca="1" si="42"/>
        <v>1</v>
      </c>
      <c r="R366" s="636" t="s">
        <v>3709</v>
      </c>
    </row>
    <row r="367" spans="1:19" s="5" customFormat="1" ht="84.75" customHeight="1" x14ac:dyDescent="0.25">
      <c r="B367" s="51">
        <v>44222</v>
      </c>
      <c r="C367" s="24" t="s">
        <v>2351</v>
      </c>
      <c r="D367" s="52" t="s">
        <v>3705</v>
      </c>
      <c r="E367" s="29" t="s">
        <v>3710</v>
      </c>
      <c r="F367" s="52" t="s">
        <v>3707</v>
      </c>
      <c r="G367" s="52" t="s">
        <v>3711</v>
      </c>
      <c r="H367" s="52" t="s">
        <v>3687</v>
      </c>
      <c r="I367" s="52" t="s">
        <v>19</v>
      </c>
      <c r="J367" s="55">
        <v>150430.37</v>
      </c>
      <c r="K367" s="55">
        <v>57.983199999999997</v>
      </c>
      <c r="L367" s="56">
        <f t="shared" si="51"/>
        <v>2594.3785441300238</v>
      </c>
      <c r="M367" s="52">
        <v>12</v>
      </c>
      <c r="N367" s="41">
        <f t="shared" si="52"/>
        <v>12535.864166666666</v>
      </c>
      <c r="O367" s="42">
        <f t="shared" ca="1" si="50"/>
        <v>36</v>
      </c>
      <c r="P367" s="36">
        <f t="shared" ca="1" si="46"/>
        <v>-300860.74</v>
      </c>
      <c r="Q367" s="36">
        <f t="shared" ca="1" si="42"/>
        <v>1</v>
      </c>
      <c r="R367" s="636" t="s">
        <v>3709</v>
      </c>
    </row>
    <row r="368" spans="1:19" s="4" customFormat="1" ht="69" customHeight="1" x14ac:dyDescent="0.25">
      <c r="B368" s="24">
        <v>44225</v>
      </c>
      <c r="C368" s="24">
        <v>44365</v>
      </c>
      <c r="D368" s="54" t="s">
        <v>3712</v>
      </c>
      <c r="E368" s="26" t="s">
        <v>3713</v>
      </c>
      <c r="F368" s="54" t="s">
        <v>3714</v>
      </c>
      <c r="G368" s="54" t="s">
        <v>3715</v>
      </c>
      <c r="H368" s="54" t="s">
        <v>3716</v>
      </c>
      <c r="I368" s="54" t="s">
        <v>19</v>
      </c>
      <c r="J368" s="57">
        <v>86040.8</v>
      </c>
      <c r="K368" s="54">
        <v>57.998199999999997</v>
      </c>
      <c r="L368" s="54">
        <f t="shared" si="51"/>
        <v>1483.5081088723443</v>
      </c>
      <c r="M368" s="54">
        <v>48</v>
      </c>
      <c r="N368" s="58">
        <f t="shared" si="52"/>
        <v>1792.5166666666667</v>
      </c>
      <c r="O368" s="38">
        <f t="shared" ca="1" si="50"/>
        <v>36</v>
      </c>
      <c r="P368" s="36">
        <f t="shared" ca="1" si="46"/>
        <v>21510.200000000004</v>
      </c>
      <c r="Q368" s="36">
        <f t="shared" ca="1" si="42"/>
        <v>21510.200000000004</v>
      </c>
      <c r="R368" s="637" t="s">
        <v>2713</v>
      </c>
    </row>
    <row r="369" spans="2:18" s="4" customFormat="1" ht="64.5" customHeight="1" x14ac:dyDescent="0.25">
      <c r="B369" s="24">
        <v>44225</v>
      </c>
      <c r="C369" s="24">
        <v>44365</v>
      </c>
      <c r="D369" s="54" t="s">
        <v>3712</v>
      </c>
      <c r="E369" s="26" t="s">
        <v>3717</v>
      </c>
      <c r="F369" s="54" t="s">
        <v>3718</v>
      </c>
      <c r="G369" s="54" t="s">
        <v>3719</v>
      </c>
      <c r="H369" s="54" t="s">
        <v>3720</v>
      </c>
      <c r="I369" s="54" t="s">
        <v>19</v>
      </c>
      <c r="J369" s="57">
        <v>86040.8</v>
      </c>
      <c r="K369" s="54">
        <v>57.998199999999997</v>
      </c>
      <c r="L369" s="54">
        <f t="shared" si="51"/>
        <v>1483.5081088723443</v>
      </c>
      <c r="M369" s="54">
        <v>48</v>
      </c>
      <c r="N369" s="58">
        <f t="shared" ref="N369:N404" si="53">J369/M369</f>
        <v>1792.5166666666667</v>
      </c>
      <c r="O369" s="38">
        <f t="shared" ca="1" si="50"/>
        <v>36</v>
      </c>
      <c r="P369" s="36">
        <f t="shared" ca="1" si="46"/>
        <v>21510.200000000004</v>
      </c>
      <c r="Q369" s="36">
        <f t="shared" ca="1" si="42"/>
        <v>21510.200000000004</v>
      </c>
      <c r="R369" s="637" t="s">
        <v>2713</v>
      </c>
    </row>
    <row r="370" spans="2:18" s="4" customFormat="1" ht="61.5" customHeight="1" x14ac:dyDescent="0.25">
      <c r="B370" s="24">
        <v>44225</v>
      </c>
      <c r="C370" s="24">
        <v>44365</v>
      </c>
      <c r="D370" s="54" t="s">
        <v>3712</v>
      </c>
      <c r="E370" s="26" t="s">
        <v>3721</v>
      </c>
      <c r="F370" s="54" t="s">
        <v>3722</v>
      </c>
      <c r="G370" s="54" t="s">
        <v>3723</v>
      </c>
      <c r="H370" s="54" t="s">
        <v>3724</v>
      </c>
      <c r="I370" s="54" t="s">
        <v>19</v>
      </c>
      <c r="J370" s="57">
        <v>86040.8</v>
      </c>
      <c r="K370" s="54">
        <v>57.998199999999997</v>
      </c>
      <c r="L370" s="54">
        <f t="shared" si="51"/>
        <v>1483.5081088723443</v>
      </c>
      <c r="M370" s="54">
        <v>48</v>
      </c>
      <c r="N370" s="58">
        <f t="shared" si="53"/>
        <v>1792.5166666666667</v>
      </c>
      <c r="O370" s="38">
        <f t="shared" ca="1" si="50"/>
        <v>36</v>
      </c>
      <c r="P370" s="36">
        <f t="shared" ca="1" si="46"/>
        <v>21510.200000000004</v>
      </c>
      <c r="Q370" s="36">
        <f t="shared" ca="1" si="42"/>
        <v>21510.200000000004</v>
      </c>
      <c r="R370" s="637" t="s">
        <v>2713</v>
      </c>
    </row>
    <row r="371" spans="2:18" s="4" customFormat="1" ht="66.75" customHeight="1" x14ac:dyDescent="0.25">
      <c r="B371" s="24">
        <v>44225</v>
      </c>
      <c r="C371" s="24">
        <v>44365</v>
      </c>
      <c r="D371" s="54" t="s">
        <v>3712</v>
      </c>
      <c r="E371" s="26" t="s">
        <v>3725</v>
      </c>
      <c r="F371" s="54" t="s">
        <v>3726</v>
      </c>
      <c r="G371" s="54" t="s">
        <v>3727</v>
      </c>
      <c r="H371" s="54" t="s">
        <v>3728</v>
      </c>
      <c r="I371" s="54" t="s">
        <v>19</v>
      </c>
      <c r="J371" s="57">
        <v>86040.8</v>
      </c>
      <c r="K371" s="54">
        <v>57.998199999999997</v>
      </c>
      <c r="L371" s="54">
        <f t="shared" si="51"/>
        <v>1483.5081088723443</v>
      </c>
      <c r="M371" s="54">
        <v>48</v>
      </c>
      <c r="N371" s="58">
        <f t="shared" si="53"/>
        <v>1792.5166666666667</v>
      </c>
      <c r="O371" s="38">
        <f t="shared" ca="1" si="50"/>
        <v>36</v>
      </c>
      <c r="P371" s="36">
        <f t="shared" ca="1" si="46"/>
        <v>21510.200000000004</v>
      </c>
      <c r="Q371" s="36">
        <f t="shared" ca="1" si="42"/>
        <v>21510.200000000004</v>
      </c>
      <c r="R371" s="637" t="s">
        <v>2713</v>
      </c>
    </row>
    <row r="372" spans="2:18" s="4" customFormat="1" ht="66" customHeight="1" x14ac:dyDescent="0.25">
      <c r="B372" s="24">
        <v>44225</v>
      </c>
      <c r="C372" s="24">
        <v>44365</v>
      </c>
      <c r="D372" s="54" t="s">
        <v>3712</v>
      </c>
      <c r="E372" s="26" t="s">
        <v>3729</v>
      </c>
      <c r="F372" s="54" t="s">
        <v>3726</v>
      </c>
      <c r="G372" s="54" t="s">
        <v>3730</v>
      </c>
      <c r="H372" s="54" t="s">
        <v>3731</v>
      </c>
      <c r="I372" s="54" t="s">
        <v>19</v>
      </c>
      <c r="J372" s="57">
        <v>86040.84</v>
      </c>
      <c r="K372" s="54">
        <v>57.998199999999997</v>
      </c>
      <c r="L372" s="54">
        <f t="shared" si="51"/>
        <v>1483.5087985489206</v>
      </c>
      <c r="M372" s="54">
        <v>48</v>
      </c>
      <c r="N372" s="58">
        <f t="shared" si="53"/>
        <v>1792.5174999999999</v>
      </c>
      <c r="O372" s="38">
        <f t="shared" ca="1" si="50"/>
        <v>36</v>
      </c>
      <c r="P372" s="36">
        <f t="shared" ca="1" si="46"/>
        <v>21510.21</v>
      </c>
      <c r="Q372" s="36">
        <f t="shared" ca="1" si="42"/>
        <v>21510.21</v>
      </c>
      <c r="R372" s="637" t="s">
        <v>2713</v>
      </c>
    </row>
    <row r="373" spans="2:18" s="4" customFormat="1" ht="42.75" customHeight="1" x14ac:dyDescent="0.25">
      <c r="B373" s="24">
        <v>44225</v>
      </c>
      <c r="C373" s="24">
        <v>44365</v>
      </c>
      <c r="D373" s="54" t="s">
        <v>3712</v>
      </c>
      <c r="E373" s="26" t="s">
        <v>3732</v>
      </c>
      <c r="F373" s="54" t="s">
        <v>3733</v>
      </c>
      <c r="G373" s="54" t="s">
        <v>3734</v>
      </c>
      <c r="H373" s="54" t="s">
        <v>3735</v>
      </c>
      <c r="I373" s="54" t="s">
        <v>19</v>
      </c>
      <c r="J373" s="57">
        <v>178877</v>
      </c>
      <c r="K373" s="54">
        <v>57.998199999999997</v>
      </c>
      <c r="L373" s="54">
        <f t="shared" si="51"/>
        <v>3084.1819228872623</v>
      </c>
      <c r="M373" s="54">
        <v>48</v>
      </c>
      <c r="N373" s="58">
        <f t="shared" si="53"/>
        <v>3726.6041666666665</v>
      </c>
      <c r="O373" s="38">
        <f t="shared" ca="1" si="50"/>
        <v>36</v>
      </c>
      <c r="P373" s="36">
        <f t="shared" ca="1" si="46"/>
        <v>44719.25</v>
      </c>
      <c r="Q373" s="36">
        <f t="shared" ca="1" si="42"/>
        <v>44719.25</v>
      </c>
      <c r="R373" s="637" t="s">
        <v>2713</v>
      </c>
    </row>
    <row r="374" spans="2:18" s="4" customFormat="1" ht="38.25" customHeight="1" x14ac:dyDescent="0.25">
      <c r="B374" s="24">
        <v>44229</v>
      </c>
      <c r="C374" s="24">
        <v>44362</v>
      </c>
      <c r="D374" s="54" t="s">
        <v>3736</v>
      </c>
      <c r="E374" s="26" t="s">
        <v>3737</v>
      </c>
      <c r="F374" s="54" t="s">
        <v>3738</v>
      </c>
      <c r="G374" s="54" t="s">
        <v>3739</v>
      </c>
      <c r="H374" s="54" t="s">
        <v>3740</v>
      </c>
      <c r="I374" s="54" t="s">
        <v>19</v>
      </c>
      <c r="J374" s="57">
        <v>81698.41</v>
      </c>
      <c r="K374" s="54">
        <v>57.871699999999997</v>
      </c>
      <c r="L374" s="54">
        <f t="shared" si="51"/>
        <v>1411.7160892111344</v>
      </c>
      <c r="M374" s="54">
        <v>48</v>
      </c>
      <c r="N374" s="58">
        <f t="shared" si="53"/>
        <v>1702.0502083333333</v>
      </c>
      <c r="O374" s="38">
        <f t="shared" ca="1" si="50"/>
        <v>36</v>
      </c>
      <c r="P374" s="36">
        <f t="shared" ca="1" si="46"/>
        <v>20424.602500000001</v>
      </c>
      <c r="Q374" s="36">
        <f t="shared" ca="1" si="42"/>
        <v>20424.602500000001</v>
      </c>
      <c r="R374" s="637" t="s">
        <v>2529</v>
      </c>
    </row>
    <row r="375" spans="2:18" s="4" customFormat="1" ht="39" customHeight="1" x14ac:dyDescent="0.25">
      <c r="B375" s="24">
        <v>44229</v>
      </c>
      <c r="C375" s="24">
        <v>44363</v>
      </c>
      <c r="D375" s="54" t="s">
        <v>3736</v>
      </c>
      <c r="E375" s="26" t="s">
        <v>3741</v>
      </c>
      <c r="F375" s="54" t="s">
        <v>3738</v>
      </c>
      <c r="G375" s="54" t="s">
        <v>3742</v>
      </c>
      <c r="H375" s="54" t="s">
        <v>3743</v>
      </c>
      <c r="I375" s="54" t="s">
        <v>19</v>
      </c>
      <c r="J375" s="57">
        <v>81698.41</v>
      </c>
      <c r="K375" s="54">
        <v>57.871699999999997</v>
      </c>
      <c r="L375" s="54">
        <f t="shared" si="51"/>
        <v>1411.7160892111344</v>
      </c>
      <c r="M375" s="54">
        <v>48</v>
      </c>
      <c r="N375" s="58">
        <f t="shared" si="53"/>
        <v>1702.0502083333333</v>
      </c>
      <c r="O375" s="38">
        <f t="shared" ca="1" si="50"/>
        <v>36</v>
      </c>
      <c r="P375" s="36">
        <f t="shared" ca="1" si="46"/>
        <v>20424.602500000001</v>
      </c>
      <c r="Q375" s="36">
        <f t="shared" ca="1" si="42"/>
        <v>20424.602500000001</v>
      </c>
      <c r="R375" s="637" t="s">
        <v>2529</v>
      </c>
    </row>
    <row r="376" spans="2:18" s="4" customFormat="1" ht="40.5" customHeight="1" x14ac:dyDescent="0.25">
      <c r="B376" s="24">
        <v>44229</v>
      </c>
      <c r="C376" s="24">
        <v>44363</v>
      </c>
      <c r="D376" s="54" t="s">
        <v>3736</v>
      </c>
      <c r="E376" s="26" t="s">
        <v>3744</v>
      </c>
      <c r="F376" s="54" t="s">
        <v>3738</v>
      </c>
      <c r="G376" s="54" t="s">
        <v>3745</v>
      </c>
      <c r="H376" s="54" t="s">
        <v>3746</v>
      </c>
      <c r="I376" s="54" t="s">
        <v>19</v>
      </c>
      <c r="J376" s="57">
        <v>81698.41</v>
      </c>
      <c r="K376" s="54">
        <v>57.871699999999997</v>
      </c>
      <c r="L376" s="54">
        <f t="shared" si="51"/>
        <v>1411.7160892111344</v>
      </c>
      <c r="M376" s="54">
        <v>48</v>
      </c>
      <c r="N376" s="58">
        <f t="shared" si="53"/>
        <v>1702.0502083333333</v>
      </c>
      <c r="O376" s="38">
        <f t="shared" ca="1" si="50"/>
        <v>36</v>
      </c>
      <c r="P376" s="36">
        <f t="shared" ca="1" si="46"/>
        <v>20424.602500000001</v>
      </c>
      <c r="Q376" s="36">
        <f t="shared" ca="1" si="42"/>
        <v>20424.602500000001</v>
      </c>
      <c r="R376" s="637" t="s">
        <v>2529</v>
      </c>
    </row>
    <row r="377" spans="2:18" s="4" customFormat="1" ht="38.25" customHeight="1" x14ac:dyDescent="0.25">
      <c r="B377" s="24">
        <v>44229</v>
      </c>
      <c r="C377" s="24">
        <v>44363</v>
      </c>
      <c r="D377" s="54" t="s">
        <v>3736</v>
      </c>
      <c r="E377" s="26" t="s">
        <v>3747</v>
      </c>
      <c r="F377" s="54" t="s">
        <v>3748</v>
      </c>
      <c r="G377" s="54" t="s">
        <v>3749</v>
      </c>
      <c r="H377" s="54" t="s">
        <v>3750</v>
      </c>
      <c r="I377" s="54" t="s">
        <v>19</v>
      </c>
      <c r="J377" s="57">
        <v>86797.2</v>
      </c>
      <c r="K377" s="54">
        <v>57.871699999999997</v>
      </c>
      <c r="L377" s="54">
        <f t="shared" si="51"/>
        <v>1499.8211561091173</v>
      </c>
      <c r="M377" s="54">
        <v>48</v>
      </c>
      <c r="N377" s="58">
        <f t="shared" si="53"/>
        <v>1808.2749999999999</v>
      </c>
      <c r="O377" s="38">
        <f t="shared" ca="1" si="50"/>
        <v>36</v>
      </c>
      <c r="P377" s="36">
        <f t="shared" ca="1" si="46"/>
        <v>21699.300000000003</v>
      </c>
      <c r="Q377" s="36">
        <f t="shared" ca="1" si="42"/>
        <v>21699.300000000003</v>
      </c>
      <c r="R377" s="637" t="s">
        <v>2529</v>
      </c>
    </row>
    <row r="378" spans="2:18" s="4" customFormat="1" ht="54.75" customHeight="1" x14ac:dyDescent="0.25">
      <c r="B378" s="24">
        <v>44229</v>
      </c>
      <c r="C378" s="24">
        <v>44363</v>
      </c>
      <c r="D378" s="54" t="s">
        <v>3736</v>
      </c>
      <c r="E378" s="26" t="s">
        <v>3751</v>
      </c>
      <c r="F378" s="54" t="s">
        <v>3748</v>
      </c>
      <c r="G378" s="54" t="s">
        <v>3752</v>
      </c>
      <c r="H378" s="54" t="s">
        <v>3753</v>
      </c>
      <c r="I378" s="54" t="s">
        <v>19</v>
      </c>
      <c r="J378" s="57">
        <v>86797.2</v>
      </c>
      <c r="K378" s="54">
        <v>57.871699999999997</v>
      </c>
      <c r="L378" s="54">
        <f t="shared" si="51"/>
        <v>1499.8211561091173</v>
      </c>
      <c r="M378" s="54">
        <v>48</v>
      </c>
      <c r="N378" s="58">
        <f t="shared" si="53"/>
        <v>1808.2749999999999</v>
      </c>
      <c r="O378" s="38">
        <f t="shared" ca="1" si="50"/>
        <v>36</v>
      </c>
      <c r="P378" s="36">
        <f t="shared" ca="1" si="46"/>
        <v>21699.300000000003</v>
      </c>
      <c r="Q378" s="36">
        <f t="shared" ref="Q378:Q441" ca="1" si="54">IF(P378&lt;1,1,P378)</f>
        <v>21699.300000000003</v>
      </c>
      <c r="R378" s="637" t="s">
        <v>2529</v>
      </c>
    </row>
    <row r="379" spans="2:18" s="4" customFormat="1" ht="40.5" customHeight="1" x14ac:dyDescent="0.25">
      <c r="B379" s="24">
        <v>44229</v>
      </c>
      <c r="C379" s="24">
        <v>44363</v>
      </c>
      <c r="D379" s="54" t="s">
        <v>3736</v>
      </c>
      <c r="E379" s="26" t="s">
        <v>3754</v>
      </c>
      <c r="F379" s="54" t="s">
        <v>3748</v>
      </c>
      <c r="G379" s="54" t="s">
        <v>3755</v>
      </c>
      <c r="H379" s="54" t="s">
        <v>3756</v>
      </c>
      <c r="I379" s="54" t="s">
        <v>19</v>
      </c>
      <c r="J379" s="57">
        <v>86797.2</v>
      </c>
      <c r="K379" s="54">
        <v>57.871699999999997</v>
      </c>
      <c r="L379" s="54">
        <f t="shared" si="51"/>
        <v>1499.8211561091173</v>
      </c>
      <c r="M379" s="54">
        <v>48</v>
      </c>
      <c r="N379" s="58">
        <f t="shared" si="53"/>
        <v>1808.2749999999999</v>
      </c>
      <c r="O379" s="38">
        <f t="shared" ca="1" si="50"/>
        <v>36</v>
      </c>
      <c r="P379" s="36">
        <f t="shared" ca="1" si="46"/>
        <v>21699.300000000003</v>
      </c>
      <c r="Q379" s="36">
        <f t="shared" ca="1" si="54"/>
        <v>21699.300000000003</v>
      </c>
      <c r="R379" s="637" t="s">
        <v>2529</v>
      </c>
    </row>
    <row r="380" spans="2:18" s="4" customFormat="1" ht="53.25" customHeight="1" x14ac:dyDescent="0.25">
      <c r="B380" s="24">
        <v>44229</v>
      </c>
      <c r="C380" s="24">
        <v>44363</v>
      </c>
      <c r="D380" s="54" t="s">
        <v>3736</v>
      </c>
      <c r="E380" s="26" t="s">
        <v>3757</v>
      </c>
      <c r="F380" s="54" t="s">
        <v>3748</v>
      </c>
      <c r="G380" s="54" t="s">
        <v>3758</v>
      </c>
      <c r="H380" s="54" t="s">
        <v>3759</v>
      </c>
      <c r="I380" s="54" t="s">
        <v>19</v>
      </c>
      <c r="J380" s="57">
        <v>86797.2</v>
      </c>
      <c r="K380" s="54">
        <v>57.871699999999997</v>
      </c>
      <c r="L380" s="61">
        <f t="shared" si="51"/>
        <v>1499.8211561091173</v>
      </c>
      <c r="M380" s="54">
        <v>48</v>
      </c>
      <c r="N380" s="58">
        <f t="shared" si="53"/>
        <v>1808.2749999999999</v>
      </c>
      <c r="O380" s="38">
        <f t="shared" ca="1" si="50"/>
        <v>36</v>
      </c>
      <c r="P380" s="36">
        <f t="shared" ca="1" si="46"/>
        <v>21699.300000000003</v>
      </c>
      <c r="Q380" s="36">
        <f t="shared" ca="1" si="54"/>
        <v>21699.300000000003</v>
      </c>
      <c r="R380" s="637" t="s">
        <v>2529</v>
      </c>
    </row>
    <row r="381" spans="2:18" s="6" customFormat="1" ht="72.75" customHeight="1" x14ac:dyDescent="0.25">
      <c r="B381" s="59">
        <v>44383</v>
      </c>
      <c r="C381" s="24" t="s">
        <v>2351</v>
      </c>
      <c r="D381" s="57" t="s">
        <v>3760</v>
      </c>
      <c r="E381" s="29" t="s">
        <v>3761</v>
      </c>
      <c r="F381" s="29" t="s">
        <v>3762</v>
      </c>
      <c r="G381" s="57" t="s">
        <v>3763</v>
      </c>
      <c r="H381" s="57" t="s">
        <v>3746</v>
      </c>
      <c r="I381" s="57" t="s">
        <v>19</v>
      </c>
      <c r="J381" s="57">
        <v>73445.48</v>
      </c>
      <c r="K381" s="57">
        <v>57.871699999999997</v>
      </c>
      <c r="L381" s="62">
        <f t="shared" si="51"/>
        <v>1269.1087353576963</v>
      </c>
      <c r="M381" s="57">
        <v>12</v>
      </c>
      <c r="N381" s="63">
        <f t="shared" si="53"/>
        <v>6120.456666666666</v>
      </c>
      <c r="O381" s="42">
        <f t="shared" ca="1" si="50"/>
        <v>31</v>
      </c>
      <c r="P381" s="36">
        <f t="shared" ca="1" si="46"/>
        <v>-116288.67666666665</v>
      </c>
      <c r="Q381" s="36">
        <f t="shared" ca="1" si="54"/>
        <v>1</v>
      </c>
      <c r="R381" s="636" t="s">
        <v>3764</v>
      </c>
    </row>
    <row r="382" spans="2:18" s="4" customFormat="1" ht="66" customHeight="1" x14ac:dyDescent="0.25">
      <c r="B382" s="24">
        <v>44410</v>
      </c>
      <c r="C382" s="24">
        <v>44524</v>
      </c>
      <c r="D382" s="54" t="s">
        <v>3765</v>
      </c>
      <c r="E382" s="26" t="s">
        <v>4346</v>
      </c>
      <c r="F382" s="26" t="s">
        <v>3766</v>
      </c>
      <c r="G382" s="54" t="s">
        <v>28</v>
      </c>
      <c r="H382" s="54" t="s">
        <v>3377</v>
      </c>
      <c r="I382" s="54" t="s">
        <v>19</v>
      </c>
      <c r="J382" s="54">
        <v>18290</v>
      </c>
      <c r="K382" s="54">
        <v>56.992699999999999</v>
      </c>
      <c r="L382" s="61">
        <f t="shared" si="51"/>
        <v>320.9182930445478</v>
      </c>
      <c r="M382" s="54">
        <v>60</v>
      </c>
      <c r="N382" s="58">
        <f t="shared" si="53"/>
        <v>304.83333333333331</v>
      </c>
      <c r="O382" s="38">
        <f t="shared" ca="1" si="50"/>
        <v>30</v>
      </c>
      <c r="P382" s="36">
        <f t="shared" ca="1" si="46"/>
        <v>9145</v>
      </c>
      <c r="Q382" s="36">
        <f t="shared" ca="1" si="54"/>
        <v>9145</v>
      </c>
      <c r="R382" s="637" t="s">
        <v>3767</v>
      </c>
    </row>
    <row r="383" spans="2:18" s="4" customFormat="1" ht="50.25" customHeight="1" x14ac:dyDescent="0.25">
      <c r="B383" s="24">
        <v>44411</v>
      </c>
      <c r="C383" s="24">
        <v>44439</v>
      </c>
      <c r="D383" s="54" t="s">
        <v>3768</v>
      </c>
      <c r="E383" s="26" t="s">
        <v>4347</v>
      </c>
      <c r="F383" s="54" t="s">
        <v>3769</v>
      </c>
      <c r="G383" s="54" t="s">
        <v>3770</v>
      </c>
      <c r="H383" s="54" t="s">
        <v>3759</v>
      </c>
      <c r="I383" s="54" t="s">
        <v>19</v>
      </c>
      <c r="J383" s="54">
        <v>19470</v>
      </c>
      <c r="K383" s="54">
        <v>56.962200000000003</v>
      </c>
      <c r="L383" s="61">
        <f t="shared" si="51"/>
        <v>341.80561846277004</v>
      </c>
      <c r="M383" s="54">
        <v>60</v>
      </c>
      <c r="N383" s="58">
        <f t="shared" si="53"/>
        <v>324.5</v>
      </c>
      <c r="O383" s="38">
        <f t="shared" ca="1" si="50"/>
        <v>30</v>
      </c>
      <c r="P383" s="36">
        <f t="shared" ca="1" si="46"/>
        <v>9735</v>
      </c>
      <c r="Q383" s="36">
        <f t="shared" ca="1" si="54"/>
        <v>9735</v>
      </c>
      <c r="R383" s="637" t="s">
        <v>3771</v>
      </c>
    </row>
    <row r="384" spans="2:18" s="4" customFormat="1" ht="45.75" customHeight="1" x14ac:dyDescent="0.25">
      <c r="B384" s="24">
        <v>44412</v>
      </c>
      <c r="C384" s="24">
        <v>44446</v>
      </c>
      <c r="D384" s="54" t="s">
        <v>3772</v>
      </c>
      <c r="E384" s="26" t="s">
        <v>3773</v>
      </c>
      <c r="F384" s="54" t="s">
        <v>3774</v>
      </c>
      <c r="G384" s="54" t="s">
        <v>3775</v>
      </c>
      <c r="H384" s="54" t="s">
        <v>3776</v>
      </c>
      <c r="I384" s="54" t="s">
        <v>19</v>
      </c>
      <c r="J384" s="54">
        <v>12075.01</v>
      </c>
      <c r="K384" s="54">
        <v>56.985199999999999</v>
      </c>
      <c r="L384" s="61">
        <f t="shared" si="51"/>
        <v>211.89729964973361</v>
      </c>
      <c r="M384" s="54">
        <v>48</v>
      </c>
      <c r="N384" s="58">
        <f t="shared" si="53"/>
        <v>251.56270833333335</v>
      </c>
      <c r="O384" s="38">
        <f t="shared" ca="1" si="50"/>
        <v>30</v>
      </c>
      <c r="P384" s="36">
        <f t="shared" ca="1" si="46"/>
        <v>4528.1287499999999</v>
      </c>
      <c r="Q384" s="36">
        <f t="shared" ca="1" si="54"/>
        <v>4528.1287499999999</v>
      </c>
      <c r="R384" s="637" t="s">
        <v>3314</v>
      </c>
    </row>
    <row r="385" spans="2:18" s="4" customFormat="1" ht="53.25" customHeight="1" x14ac:dyDescent="0.25">
      <c r="B385" s="24">
        <v>44412</v>
      </c>
      <c r="C385" s="24">
        <v>44446</v>
      </c>
      <c r="D385" s="54" t="s">
        <v>3772</v>
      </c>
      <c r="E385" s="26" t="s">
        <v>3777</v>
      </c>
      <c r="F385" s="54" t="s">
        <v>3778</v>
      </c>
      <c r="G385" s="54" t="s">
        <v>3775</v>
      </c>
      <c r="H385" s="54" t="s">
        <v>3779</v>
      </c>
      <c r="I385" s="54" t="s">
        <v>3780</v>
      </c>
      <c r="J385" s="54">
        <v>12075.01</v>
      </c>
      <c r="K385" s="54">
        <v>56.985199999999999</v>
      </c>
      <c r="L385" s="61">
        <f t="shared" si="51"/>
        <v>211.89729964973361</v>
      </c>
      <c r="M385" s="54">
        <v>48</v>
      </c>
      <c r="N385" s="58">
        <f t="shared" si="53"/>
        <v>251.56270833333335</v>
      </c>
      <c r="O385" s="38">
        <f t="shared" ref="O385:O448" ca="1" si="55">IF(B385&lt;&gt;0,(ROUND((NOW()-B385)/30,0)),0)</f>
        <v>30</v>
      </c>
      <c r="P385" s="36">
        <f t="shared" ca="1" si="46"/>
        <v>4528.1287499999999</v>
      </c>
      <c r="Q385" s="36">
        <f t="shared" ca="1" si="54"/>
        <v>4528.1287499999999</v>
      </c>
      <c r="R385" s="637" t="s">
        <v>3314</v>
      </c>
    </row>
    <row r="386" spans="2:18" s="4" customFormat="1" ht="39.75" customHeight="1" x14ac:dyDescent="0.25">
      <c r="B386" s="24">
        <v>44412</v>
      </c>
      <c r="C386" s="24">
        <v>44446</v>
      </c>
      <c r="D386" s="54" t="s">
        <v>3772</v>
      </c>
      <c r="E386" s="26" t="s">
        <v>3781</v>
      </c>
      <c r="F386" s="54" t="s">
        <v>3782</v>
      </c>
      <c r="G386" s="54" t="s">
        <v>3783</v>
      </c>
      <c r="H386" s="54" t="s">
        <v>3779</v>
      </c>
      <c r="I386" s="54" t="s">
        <v>3780</v>
      </c>
      <c r="J386" s="54">
        <v>56640</v>
      </c>
      <c r="K386" s="54">
        <v>56.985199999999999</v>
      </c>
      <c r="L386" s="61">
        <f t="shared" si="51"/>
        <v>993.94228676919624</v>
      </c>
      <c r="M386" s="54">
        <v>48</v>
      </c>
      <c r="N386" s="58">
        <f t="shared" si="53"/>
        <v>1180</v>
      </c>
      <c r="O386" s="38">
        <f t="shared" ca="1" si="55"/>
        <v>30</v>
      </c>
      <c r="P386" s="36">
        <f t="shared" ca="1" si="46"/>
        <v>21240</v>
      </c>
      <c r="Q386" s="36">
        <f t="shared" ca="1" si="54"/>
        <v>21240</v>
      </c>
      <c r="R386" s="637" t="s">
        <v>3314</v>
      </c>
    </row>
    <row r="387" spans="2:18" s="4" customFormat="1" ht="44.25" customHeight="1" x14ac:dyDescent="0.25">
      <c r="B387" s="24">
        <v>44412</v>
      </c>
      <c r="C387" s="24">
        <v>44446</v>
      </c>
      <c r="D387" s="54" t="s">
        <v>3772</v>
      </c>
      <c r="E387" s="26" t="s">
        <v>3784</v>
      </c>
      <c r="F387" s="54" t="s">
        <v>3785</v>
      </c>
      <c r="G387" s="54" t="s">
        <v>3783</v>
      </c>
      <c r="H387" s="54" t="s">
        <v>3786</v>
      </c>
      <c r="I387" s="54" t="s">
        <v>3780</v>
      </c>
      <c r="J387" s="54">
        <v>50740</v>
      </c>
      <c r="K387" s="54">
        <v>56.985199999999999</v>
      </c>
      <c r="L387" s="61">
        <f t="shared" si="51"/>
        <v>890.40663189740496</v>
      </c>
      <c r="M387" s="54">
        <v>48</v>
      </c>
      <c r="N387" s="58">
        <f t="shared" si="53"/>
        <v>1057.0833333333333</v>
      </c>
      <c r="O387" s="38">
        <f t="shared" ca="1" si="55"/>
        <v>30</v>
      </c>
      <c r="P387" s="36">
        <f t="shared" ca="1" si="46"/>
        <v>19027.500000000004</v>
      </c>
      <c r="Q387" s="36">
        <f t="shared" ca="1" si="54"/>
        <v>19027.500000000004</v>
      </c>
      <c r="R387" s="637" t="s">
        <v>3787</v>
      </c>
    </row>
    <row r="388" spans="2:18" s="4" customFormat="1" ht="42.75" customHeight="1" x14ac:dyDescent="0.25">
      <c r="B388" s="24">
        <v>44428</v>
      </c>
      <c r="C388" s="24" t="s">
        <v>2351</v>
      </c>
      <c r="D388" s="54" t="s">
        <v>3788</v>
      </c>
      <c r="E388" s="26" t="s">
        <v>3789</v>
      </c>
      <c r="F388" s="54" t="s">
        <v>3790</v>
      </c>
      <c r="G388" s="54" t="s">
        <v>28</v>
      </c>
      <c r="H388" s="54" t="s">
        <v>3779</v>
      </c>
      <c r="I388" s="54" t="s">
        <v>3780</v>
      </c>
      <c r="J388" s="54">
        <v>24544</v>
      </c>
      <c r="K388" s="54">
        <v>56.991300000000003</v>
      </c>
      <c r="L388" s="61">
        <f t="shared" si="51"/>
        <v>430.66222388329447</v>
      </c>
      <c r="M388" s="54">
        <v>48</v>
      </c>
      <c r="N388" s="58">
        <f t="shared" si="53"/>
        <v>511.33333333333331</v>
      </c>
      <c r="O388" s="38">
        <f t="shared" ca="1" si="55"/>
        <v>29</v>
      </c>
      <c r="P388" s="36">
        <f t="shared" ca="1" si="46"/>
        <v>9715.3333333333339</v>
      </c>
      <c r="Q388" s="36">
        <f t="shared" ca="1" si="54"/>
        <v>9715.3333333333339</v>
      </c>
      <c r="R388" s="637" t="s">
        <v>3791</v>
      </c>
    </row>
    <row r="389" spans="2:18" s="4" customFormat="1" ht="72.75" customHeight="1" x14ac:dyDescent="0.25">
      <c r="B389" s="24">
        <v>44435</v>
      </c>
      <c r="C389" s="24">
        <v>44475</v>
      </c>
      <c r="D389" s="54" t="s">
        <v>3792</v>
      </c>
      <c r="E389" s="26" t="s">
        <v>3793</v>
      </c>
      <c r="F389" s="54" t="s">
        <v>3794</v>
      </c>
      <c r="G389" s="54" t="s">
        <v>28</v>
      </c>
      <c r="H389" s="54" t="s">
        <v>3795</v>
      </c>
      <c r="I389" s="54" t="s">
        <v>19</v>
      </c>
      <c r="J389" s="54">
        <v>18878.82</v>
      </c>
      <c r="K389" s="54">
        <v>56.939799999999998</v>
      </c>
      <c r="L389" s="61">
        <f t="shared" si="51"/>
        <v>331.55753971738574</v>
      </c>
      <c r="M389" s="54">
        <v>48</v>
      </c>
      <c r="N389" s="58">
        <f t="shared" si="53"/>
        <v>393.30874999999997</v>
      </c>
      <c r="O389" s="38">
        <f t="shared" ca="1" si="55"/>
        <v>29</v>
      </c>
      <c r="P389" s="36">
        <f t="shared" ca="1" si="46"/>
        <v>7472.8662500000009</v>
      </c>
      <c r="Q389" s="36">
        <f t="shared" ca="1" si="54"/>
        <v>7472.8662500000009</v>
      </c>
      <c r="R389" s="637" t="s">
        <v>30</v>
      </c>
    </row>
    <row r="390" spans="2:18" s="4" customFormat="1" ht="91.5" customHeight="1" x14ac:dyDescent="0.25">
      <c r="B390" s="24">
        <v>44435</v>
      </c>
      <c r="C390" s="24">
        <v>44475</v>
      </c>
      <c r="D390" s="54" t="s">
        <v>3792</v>
      </c>
      <c r="E390" s="26" t="s">
        <v>3796</v>
      </c>
      <c r="F390" s="54" t="s">
        <v>3797</v>
      </c>
      <c r="G390" s="54" t="s">
        <v>28</v>
      </c>
      <c r="H390" s="54" t="s">
        <v>3795</v>
      </c>
      <c r="I390" s="54" t="s">
        <v>19</v>
      </c>
      <c r="J390" s="54">
        <v>10112.6</v>
      </c>
      <c r="K390" s="54">
        <v>56.939799999999998</v>
      </c>
      <c r="L390" s="61">
        <f t="shared" si="51"/>
        <v>177.60160731158172</v>
      </c>
      <c r="M390" s="54">
        <v>48</v>
      </c>
      <c r="N390" s="58">
        <f t="shared" si="53"/>
        <v>210.67916666666667</v>
      </c>
      <c r="O390" s="38">
        <f t="shared" ca="1" si="55"/>
        <v>29</v>
      </c>
      <c r="P390" s="36">
        <f t="shared" ca="1" si="46"/>
        <v>4002.9041666666672</v>
      </c>
      <c r="Q390" s="36">
        <f t="shared" ca="1" si="54"/>
        <v>4002.9041666666672</v>
      </c>
      <c r="R390" s="637" t="s">
        <v>30</v>
      </c>
    </row>
    <row r="391" spans="2:18" s="4" customFormat="1" ht="51.75" customHeight="1" x14ac:dyDescent="0.25">
      <c r="B391" s="24">
        <v>44435</v>
      </c>
      <c r="C391" s="24">
        <v>44475</v>
      </c>
      <c r="D391" s="54" t="s">
        <v>3792</v>
      </c>
      <c r="E391" s="26" t="s">
        <v>3798</v>
      </c>
      <c r="F391" s="54" t="s">
        <v>3799</v>
      </c>
      <c r="G391" s="54" t="s">
        <v>28</v>
      </c>
      <c r="H391" s="54" t="s">
        <v>3795</v>
      </c>
      <c r="I391" s="54" t="s">
        <v>19</v>
      </c>
      <c r="J391" s="54">
        <v>11942.78</v>
      </c>
      <c r="K391" s="54">
        <v>56.939799999999998</v>
      </c>
      <c r="L391" s="61">
        <f t="shared" si="51"/>
        <v>209.74397521592982</v>
      </c>
      <c r="M391" s="54">
        <v>48</v>
      </c>
      <c r="N391" s="58">
        <f t="shared" si="53"/>
        <v>248.80791666666667</v>
      </c>
      <c r="O391" s="38">
        <f t="shared" ca="1" si="55"/>
        <v>29</v>
      </c>
      <c r="P391" s="36">
        <f t="shared" ca="1" si="46"/>
        <v>4727.3504166666671</v>
      </c>
      <c r="Q391" s="36">
        <f t="shared" ca="1" si="54"/>
        <v>4727.3504166666671</v>
      </c>
      <c r="R391" s="637" t="s">
        <v>30</v>
      </c>
    </row>
    <row r="392" spans="2:18" s="4" customFormat="1" ht="53.25" customHeight="1" x14ac:dyDescent="0.25">
      <c r="B392" s="24">
        <v>44435</v>
      </c>
      <c r="C392" s="24">
        <v>44475</v>
      </c>
      <c r="D392" s="54" t="s">
        <v>3792</v>
      </c>
      <c r="E392" s="26" t="s">
        <v>3800</v>
      </c>
      <c r="F392" s="54" t="s">
        <v>3801</v>
      </c>
      <c r="G392" s="54" t="s">
        <v>28</v>
      </c>
      <c r="H392" s="54" t="s">
        <v>3795</v>
      </c>
      <c r="I392" s="54" t="s">
        <v>19</v>
      </c>
      <c r="J392" s="54">
        <v>11942.78</v>
      </c>
      <c r="K392" s="54">
        <v>56.939799999999998</v>
      </c>
      <c r="L392" s="61">
        <f t="shared" si="51"/>
        <v>209.74397521592982</v>
      </c>
      <c r="M392" s="54">
        <v>48</v>
      </c>
      <c r="N392" s="58">
        <f t="shared" si="53"/>
        <v>248.80791666666667</v>
      </c>
      <c r="O392" s="38">
        <f t="shared" ca="1" si="55"/>
        <v>29</v>
      </c>
      <c r="P392" s="36">
        <f t="shared" ca="1" si="46"/>
        <v>4727.3504166666671</v>
      </c>
      <c r="Q392" s="36">
        <f t="shared" ca="1" si="54"/>
        <v>4727.3504166666671</v>
      </c>
      <c r="R392" s="637" t="s">
        <v>30</v>
      </c>
    </row>
    <row r="393" spans="2:18" s="4" customFormat="1" ht="49.5" customHeight="1" x14ac:dyDescent="0.25">
      <c r="B393" s="24">
        <v>44442</v>
      </c>
      <c r="C393" s="24" t="s">
        <v>2351</v>
      </c>
      <c r="D393" s="54" t="s">
        <v>3802</v>
      </c>
      <c r="E393" s="26" t="s">
        <v>3803</v>
      </c>
      <c r="F393" s="54" t="s">
        <v>3804</v>
      </c>
      <c r="G393" s="54" t="s">
        <v>28</v>
      </c>
      <c r="H393" s="26" t="s">
        <v>3805</v>
      </c>
      <c r="I393" s="54" t="s">
        <v>19</v>
      </c>
      <c r="J393" s="54">
        <v>7375</v>
      </c>
      <c r="K393" s="54">
        <v>56.7866</v>
      </c>
      <c r="L393" s="61">
        <f t="shared" si="51"/>
        <v>129.87218815706521</v>
      </c>
      <c r="M393" s="54">
        <v>48</v>
      </c>
      <c r="N393" s="58">
        <f t="shared" si="53"/>
        <v>153.64583333333334</v>
      </c>
      <c r="O393" s="38">
        <f t="shared" ca="1" si="55"/>
        <v>29</v>
      </c>
      <c r="P393" s="36">
        <f t="shared" ref="P393:P456" ca="1" si="56">IF(OR(J393=0,M393=0,O393=0),0,J393-(N393*O393))</f>
        <v>2919.270833333333</v>
      </c>
      <c r="Q393" s="36">
        <f t="shared" ca="1" si="54"/>
        <v>2919.270833333333</v>
      </c>
      <c r="R393" s="637" t="s">
        <v>3806</v>
      </c>
    </row>
    <row r="394" spans="2:18" s="4" customFormat="1" ht="43.5" customHeight="1" x14ac:dyDescent="0.25">
      <c r="B394" s="24">
        <v>44442</v>
      </c>
      <c r="C394" s="24" t="s">
        <v>2351</v>
      </c>
      <c r="D394" s="54" t="s">
        <v>3802</v>
      </c>
      <c r="E394" s="26" t="s">
        <v>3807</v>
      </c>
      <c r="F394" s="54" t="s">
        <v>3804</v>
      </c>
      <c r="G394" s="54" t="s">
        <v>28</v>
      </c>
      <c r="H394" s="26" t="s">
        <v>3527</v>
      </c>
      <c r="I394" s="54" t="s">
        <v>19</v>
      </c>
      <c r="J394" s="54">
        <v>7375</v>
      </c>
      <c r="K394" s="54">
        <v>56.7866</v>
      </c>
      <c r="L394" s="61">
        <f t="shared" si="51"/>
        <v>129.87218815706521</v>
      </c>
      <c r="M394" s="54">
        <v>48</v>
      </c>
      <c r="N394" s="58">
        <f t="shared" si="53"/>
        <v>153.64583333333334</v>
      </c>
      <c r="O394" s="38">
        <f t="shared" ca="1" si="55"/>
        <v>29</v>
      </c>
      <c r="P394" s="36">
        <f t="shared" ca="1" si="56"/>
        <v>2919.270833333333</v>
      </c>
      <c r="Q394" s="36">
        <f t="shared" ca="1" si="54"/>
        <v>2919.270833333333</v>
      </c>
      <c r="R394" s="637" t="s">
        <v>3806</v>
      </c>
    </row>
    <row r="395" spans="2:18" s="4" customFormat="1" ht="35.25" customHeight="1" x14ac:dyDescent="0.25">
      <c r="B395" s="24">
        <v>44442</v>
      </c>
      <c r="C395" s="24" t="s">
        <v>2351</v>
      </c>
      <c r="D395" s="54" t="s">
        <v>3802</v>
      </c>
      <c r="E395" s="26" t="s">
        <v>3808</v>
      </c>
      <c r="F395" s="54" t="s">
        <v>3804</v>
      </c>
      <c r="G395" s="54" t="s">
        <v>28</v>
      </c>
      <c r="H395" s="26" t="s">
        <v>3527</v>
      </c>
      <c r="I395" s="54" t="s">
        <v>19</v>
      </c>
      <c r="J395" s="54">
        <v>7375</v>
      </c>
      <c r="K395" s="54">
        <v>56.7866</v>
      </c>
      <c r="L395" s="61">
        <f t="shared" si="51"/>
        <v>129.87218815706521</v>
      </c>
      <c r="M395" s="54">
        <v>48</v>
      </c>
      <c r="N395" s="58">
        <f t="shared" si="53"/>
        <v>153.64583333333334</v>
      </c>
      <c r="O395" s="38">
        <f t="shared" ca="1" si="55"/>
        <v>29</v>
      </c>
      <c r="P395" s="36">
        <f t="shared" ca="1" si="56"/>
        <v>2919.270833333333</v>
      </c>
      <c r="Q395" s="36">
        <f t="shared" ca="1" si="54"/>
        <v>2919.270833333333</v>
      </c>
      <c r="R395" s="637" t="s">
        <v>3806</v>
      </c>
    </row>
    <row r="396" spans="2:18" s="4" customFormat="1" ht="38.25" customHeight="1" x14ac:dyDescent="0.25">
      <c r="B396" s="24">
        <v>44442</v>
      </c>
      <c r="C396" s="24" t="s">
        <v>2351</v>
      </c>
      <c r="D396" s="54" t="s">
        <v>3802</v>
      </c>
      <c r="E396" s="26" t="s">
        <v>3809</v>
      </c>
      <c r="F396" s="54" t="s">
        <v>3804</v>
      </c>
      <c r="G396" s="54" t="s">
        <v>28</v>
      </c>
      <c r="H396" s="26" t="s">
        <v>3527</v>
      </c>
      <c r="I396" s="54" t="s">
        <v>19</v>
      </c>
      <c r="J396" s="54">
        <v>7375</v>
      </c>
      <c r="K396" s="54">
        <v>56.7866</v>
      </c>
      <c r="L396" s="61">
        <f t="shared" si="51"/>
        <v>129.87218815706521</v>
      </c>
      <c r="M396" s="54">
        <v>48</v>
      </c>
      <c r="N396" s="58">
        <f t="shared" si="53"/>
        <v>153.64583333333334</v>
      </c>
      <c r="O396" s="38">
        <f t="shared" ca="1" si="55"/>
        <v>29</v>
      </c>
      <c r="P396" s="36">
        <f t="shared" ca="1" si="56"/>
        <v>2919.270833333333</v>
      </c>
      <c r="Q396" s="36">
        <f t="shared" ca="1" si="54"/>
        <v>2919.270833333333</v>
      </c>
      <c r="R396" s="637" t="s">
        <v>3806</v>
      </c>
    </row>
    <row r="397" spans="2:18" s="4" customFormat="1" ht="36" customHeight="1" x14ac:dyDescent="0.25">
      <c r="B397" s="24">
        <v>44442</v>
      </c>
      <c r="C397" s="24" t="s">
        <v>2351</v>
      </c>
      <c r="D397" s="54" t="s">
        <v>3802</v>
      </c>
      <c r="E397" s="26" t="s">
        <v>3810</v>
      </c>
      <c r="F397" s="54" t="s">
        <v>3804</v>
      </c>
      <c r="G397" s="54" t="s">
        <v>28</v>
      </c>
      <c r="H397" s="26" t="s">
        <v>3527</v>
      </c>
      <c r="I397" s="54" t="s">
        <v>19</v>
      </c>
      <c r="J397" s="54">
        <v>7375</v>
      </c>
      <c r="K397" s="54">
        <v>56.7866</v>
      </c>
      <c r="L397" s="61">
        <f t="shared" si="51"/>
        <v>129.87218815706521</v>
      </c>
      <c r="M397" s="54">
        <v>48</v>
      </c>
      <c r="N397" s="58">
        <f t="shared" si="53"/>
        <v>153.64583333333334</v>
      </c>
      <c r="O397" s="38">
        <f t="shared" ca="1" si="55"/>
        <v>29</v>
      </c>
      <c r="P397" s="36">
        <f t="shared" ca="1" si="56"/>
        <v>2919.270833333333</v>
      </c>
      <c r="Q397" s="36">
        <f t="shared" ca="1" si="54"/>
        <v>2919.270833333333</v>
      </c>
      <c r="R397" s="637" t="s">
        <v>3806</v>
      </c>
    </row>
    <row r="398" spans="2:18" s="4" customFormat="1" ht="36" customHeight="1" x14ac:dyDescent="0.25">
      <c r="B398" s="24">
        <v>44442</v>
      </c>
      <c r="C398" s="24" t="s">
        <v>2351</v>
      </c>
      <c r="D398" s="54" t="s">
        <v>3802</v>
      </c>
      <c r="E398" s="26" t="s">
        <v>3811</v>
      </c>
      <c r="F398" s="54" t="s">
        <v>3804</v>
      </c>
      <c r="G398" s="54" t="s">
        <v>28</v>
      </c>
      <c r="H398" s="26" t="s">
        <v>3527</v>
      </c>
      <c r="I398" s="54" t="s">
        <v>19</v>
      </c>
      <c r="J398" s="54">
        <v>7375</v>
      </c>
      <c r="K398" s="54">
        <v>56.7866</v>
      </c>
      <c r="L398" s="61">
        <f t="shared" si="51"/>
        <v>129.87218815706521</v>
      </c>
      <c r="M398" s="54">
        <v>48</v>
      </c>
      <c r="N398" s="58">
        <f t="shared" si="53"/>
        <v>153.64583333333334</v>
      </c>
      <c r="O398" s="38">
        <f t="shared" ca="1" si="55"/>
        <v>29</v>
      </c>
      <c r="P398" s="36">
        <f t="shared" ca="1" si="56"/>
        <v>2919.270833333333</v>
      </c>
      <c r="Q398" s="36">
        <f t="shared" ca="1" si="54"/>
        <v>2919.270833333333</v>
      </c>
      <c r="R398" s="637" t="s">
        <v>3806</v>
      </c>
    </row>
    <row r="399" spans="2:18" s="4" customFormat="1" ht="78.75" customHeight="1" x14ac:dyDescent="0.25">
      <c r="B399" s="24">
        <v>44448</v>
      </c>
      <c r="C399" s="24" t="s">
        <v>2351</v>
      </c>
      <c r="D399" s="54" t="s">
        <v>3812</v>
      </c>
      <c r="E399" s="26" t="s">
        <v>3813</v>
      </c>
      <c r="F399" s="54" t="s">
        <v>3814</v>
      </c>
      <c r="G399" s="54" t="s">
        <v>28</v>
      </c>
      <c r="H399" s="54" t="s">
        <v>3746</v>
      </c>
      <c r="I399" s="54" t="s">
        <v>19</v>
      </c>
      <c r="J399" s="54">
        <v>79880.42</v>
      </c>
      <c r="K399" s="54">
        <v>56.753500000000003</v>
      </c>
      <c r="L399" s="61">
        <f t="shared" si="51"/>
        <v>1407.4976873672988</v>
      </c>
      <c r="M399" s="54">
        <v>48</v>
      </c>
      <c r="N399" s="58">
        <f t="shared" si="53"/>
        <v>1664.1754166666667</v>
      </c>
      <c r="O399" s="38">
        <f t="shared" ca="1" si="55"/>
        <v>28</v>
      </c>
      <c r="P399" s="36">
        <f t="shared" ca="1" si="56"/>
        <v>33283.508333333331</v>
      </c>
      <c r="Q399" s="36">
        <f t="shared" ca="1" si="54"/>
        <v>33283.508333333331</v>
      </c>
      <c r="R399" s="637" t="s">
        <v>2713</v>
      </c>
    </row>
    <row r="400" spans="2:18" s="4" customFormat="1" ht="84.95" customHeight="1" x14ac:dyDescent="0.25">
      <c r="B400" s="24">
        <v>44448</v>
      </c>
      <c r="C400" s="24" t="s">
        <v>2351</v>
      </c>
      <c r="D400" s="54" t="s">
        <v>3812</v>
      </c>
      <c r="E400" s="26" t="s">
        <v>3815</v>
      </c>
      <c r="F400" s="54" t="s">
        <v>3816</v>
      </c>
      <c r="G400" s="54" t="s">
        <v>28</v>
      </c>
      <c r="H400" s="54" t="s">
        <v>3746</v>
      </c>
      <c r="I400" s="54" t="s">
        <v>19</v>
      </c>
      <c r="J400" s="54">
        <v>79880.42</v>
      </c>
      <c r="K400" s="54">
        <v>56.753500000000003</v>
      </c>
      <c r="L400" s="61">
        <f t="shared" si="51"/>
        <v>1407.4976873672988</v>
      </c>
      <c r="M400" s="54">
        <v>48</v>
      </c>
      <c r="N400" s="58">
        <f t="shared" si="53"/>
        <v>1664.1754166666667</v>
      </c>
      <c r="O400" s="38">
        <f t="shared" ca="1" si="55"/>
        <v>28</v>
      </c>
      <c r="P400" s="36">
        <f t="shared" ca="1" si="56"/>
        <v>33283.508333333331</v>
      </c>
      <c r="Q400" s="36">
        <f t="shared" ca="1" si="54"/>
        <v>33283.508333333331</v>
      </c>
      <c r="R400" s="637" t="s">
        <v>2713</v>
      </c>
    </row>
    <row r="401" spans="2:18" s="4" customFormat="1" ht="84.95" customHeight="1" x14ac:dyDescent="0.25">
      <c r="B401" s="24">
        <v>44448</v>
      </c>
      <c r="C401" s="24" t="s">
        <v>2351</v>
      </c>
      <c r="D401" s="54" t="s">
        <v>3812</v>
      </c>
      <c r="E401" s="26" t="s">
        <v>3817</v>
      </c>
      <c r="F401" s="54" t="s">
        <v>3816</v>
      </c>
      <c r="G401" s="54" t="s">
        <v>28</v>
      </c>
      <c r="H401" s="54" t="s">
        <v>3746</v>
      </c>
      <c r="I401" s="54" t="s">
        <v>19</v>
      </c>
      <c r="J401" s="54">
        <v>79880.42</v>
      </c>
      <c r="K401" s="54">
        <v>56.753500000000003</v>
      </c>
      <c r="L401" s="61">
        <f t="shared" si="51"/>
        <v>1407.4976873672988</v>
      </c>
      <c r="M401" s="54">
        <v>48</v>
      </c>
      <c r="N401" s="58">
        <f t="shared" si="53"/>
        <v>1664.1754166666667</v>
      </c>
      <c r="O401" s="38">
        <f t="shared" ca="1" si="55"/>
        <v>28</v>
      </c>
      <c r="P401" s="36">
        <f t="shared" ca="1" si="56"/>
        <v>33283.508333333331</v>
      </c>
      <c r="Q401" s="36">
        <f t="shared" ca="1" si="54"/>
        <v>33283.508333333331</v>
      </c>
      <c r="R401" s="637" t="s">
        <v>2713</v>
      </c>
    </row>
    <row r="402" spans="2:18" s="4" customFormat="1" ht="84.95" customHeight="1" x14ac:dyDescent="0.25">
      <c r="B402" s="24">
        <v>44448</v>
      </c>
      <c r="C402" s="24" t="s">
        <v>2351</v>
      </c>
      <c r="D402" s="54" t="s">
        <v>3812</v>
      </c>
      <c r="E402" s="26" t="s">
        <v>3818</v>
      </c>
      <c r="F402" s="54" t="s">
        <v>3819</v>
      </c>
      <c r="G402" s="54" t="s">
        <v>28</v>
      </c>
      <c r="H402" s="54" t="s">
        <v>3746</v>
      </c>
      <c r="I402" s="54" t="s">
        <v>19</v>
      </c>
      <c r="J402" s="54">
        <v>79880.42</v>
      </c>
      <c r="K402" s="54">
        <v>56.753500000000003</v>
      </c>
      <c r="L402" s="61">
        <f t="shared" si="51"/>
        <v>1407.4976873672988</v>
      </c>
      <c r="M402" s="54">
        <v>48</v>
      </c>
      <c r="N402" s="58">
        <f t="shared" si="53"/>
        <v>1664.1754166666667</v>
      </c>
      <c r="O402" s="38">
        <f t="shared" ca="1" si="55"/>
        <v>28</v>
      </c>
      <c r="P402" s="36">
        <f t="shared" ca="1" si="56"/>
        <v>33283.508333333331</v>
      </c>
      <c r="Q402" s="36">
        <f t="shared" ca="1" si="54"/>
        <v>33283.508333333331</v>
      </c>
      <c r="R402" s="637" t="s">
        <v>2713</v>
      </c>
    </row>
    <row r="403" spans="2:18" s="4" customFormat="1" ht="84.95" customHeight="1" x14ac:dyDescent="0.25">
      <c r="B403" s="24">
        <v>44448</v>
      </c>
      <c r="C403" s="24" t="s">
        <v>2351</v>
      </c>
      <c r="D403" s="54" t="s">
        <v>3812</v>
      </c>
      <c r="E403" s="26" t="s">
        <v>3820</v>
      </c>
      <c r="F403" s="54" t="s">
        <v>3816</v>
      </c>
      <c r="G403" s="54" t="s">
        <v>28</v>
      </c>
      <c r="H403" s="54" t="s">
        <v>3746</v>
      </c>
      <c r="I403" s="54" t="s">
        <v>19</v>
      </c>
      <c r="J403" s="54">
        <v>79880.42</v>
      </c>
      <c r="K403" s="54">
        <v>56.753500000000003</v>
      </c>
      <c r="L403" s="61">
        <f t="shared" si="51"/>
        <v>1407.4976873672988</v>
      </c>
      <c r="M403" s="54">
        <v>48</v>
      </c>
      <c r="N403" s="58">
        <f t="shared" si="53"/>
        <v>1664.1754166666667</v>
      </c>
      <c r="O403" s="38">
        <f t="shared" ca="1" si="55"/>
        <v>28</v>
      </c>
      <c r="P403" s="36">
        <f t="shared" ca="1" si="56"/>
        <v>33283.508333333331</v>
      </c>
      <c r="Q403" s="36">
        <f t="shared" ca="1" si="54"/>
        <v>33283.508333333331</v>
      </c>
      <c r="R403" s="637" t="s">
        <v>2713</v>
      </c>
    </row>
    <row r="404" spans="2:18" s="4" customFormat="1" ht="84.95" customHeight="1" x14ac:dyDescent="0.25">
      <c r="B404" s="24">
        <v>44448</v>
      </c>
      <c r="C404" s="24" t="s">
        <v>2351</v>
      </c>
      <c r="D404" s="54" t="s">
        <v>3812</v>
      </c>
      <c r="E404" s="26" t="s">
        <v>3821</v>
      </c>
      <c r="F404" s="54" t="s">
        <v>3816</v>
      </c>
      <c r="G404" s="54" t="s">
        <v>28</v>
      </c>
      <c r="H404" s="54" t="s">
        <v>3746</v>
      </c>
      <c r="I404" s="54" t="s">
        <v>19</v>
      </c>
      <c r="J404" s="54">
        <v>79880.42</v>
      </c>
      <c r="K404" s="54">
        <v>56.753500000000003</v>
      </c>
      <c r="L404" s="61">
        <f t="shared" si="51"/>
        <v>1407.4976873672988</v>
      </c>
      <c r="M404" s="54">
        <v>48</v>
      </c>
      <c r="N404" s="58">
        <f t="shared" si="53"/>
        <v>1664.1754166666667</v>
      </c>
      <c r="O404" s="38">
        <f t="shared" ca="1" si="55"/>
        <v>28</v>
      </c>
      <c r="P404" s="36">
        <f t="shared" ca="1" si="56"/>
        <v>33283.508333333331</v>
      </c>
      <c r="Q404" s="36">
        <f t="shared" ca="1" si="54"/>
        <v>33283.508333333331</v>
      </c>
      <c r="R404" s="637" t="s">
        <v>2713</v>
      </c>
    </row>
    <row r="405" spans="2:18" s="4" customFormat="1" ht="84.95" customHeight="1" x14ac:dyDescent="0.25">
      <c r="B405" s="24">
        <v>44448</v>
      </c>
      <c r="C405" s="24" t="s">
        <v>2351</v>
      </c>
      <c r="D405" s="54" t="s">
        <v>3812</v>
      </c>
      <c r="E405" s="26" t="s">
        <v>3822</v>
      </c>
      <c r="F405" s="54" t="s">
        <v>3816</v>
      </c>
      <c r="G405" s="54" t="s">
        <v>28</v>
      </c>
      <c r="H405" s="54" t="s">
        <v>3746</v>
      </c>
      <c r="I405" s="54" t="s">
        <v>19</v>
      </c>
      <c r="J405" s="54">
        <v>79880.42</v>
      </c>
      <c r="K405" s="54">
        <v>56.753500000000003</v>
      </c>
      <c r="L405" s="61">
        <f t="shared" si="51"/>
        <v>1407.4976873672988</v>
      </c>
      <c r="M405" s="54">
        <v>48</v>
      </c>
      <c r="N405" s="58">
        <f t="shared" ref="N405:N453" si="57">J405/M405</f>
        <v>1664.1754166666667</v>
      </c>
      <c r="O405" s="38">
        <f t="shared" ca="1" si="55"/>
        <v>28</v>
      </c>
      <c r="P405" s="36">
        <f t="shared" ca="1" si="56"/>
        <v>33283.508333333331</v>
      </c>
      <c r="Q405" s="36">
        <f t="shared" ca="1" si="54"/>
        <v>33283.508333333331</v>
      </c>
      <c r="R405" s="637" t="s">
        <v>2713</v>
      </c>
    </row>
    <row r="406" spans="2:18" s="4" customFormat="1" ht="84.95" customHeight="1" x14ac:dyDescent="0.25">
      <c r="B406" s="24">
        <v>44448</v>
      </c>
      <c r="C406" s="24" t="s">
        <v>2351</v>
      </c>
      <c r="D406" s="54" t="s">
        <v>3812</v>
      </c>
      <c r="E406" s="26" t="s">
        <v>3823</v>
      </c>
      <c r="F406" s="54" t="s">
        <v>3816</v>
      </c>
      <c r="G406" s="54" t="s">
        <v>28</v>
      </c>
      <c r="H406" s="54" t="s">
        <v>3746</v>
      </c>
      <c r="I406" s="54" t="s">
        <v>19</v>
      </c>
      <c r="J406" s="54">
        <v>79880.42</v>
      </c>
      <c r="K406" s="54">
        <v>56.753500000000003</v>
      </c>
      <c r="L406" s="61">
        <f t="shared" si="51"/>
        <v>1407.4976873672988</v>
      </c>
      <c r="M406" s="54">
        <v>48</v>
      </c>
      <c r="N406" s="58">
        <f t="shared" si="57"/>
        <v>1664.1754166666667</v>
      </c>
      <c r="O406" s="38">
        <f t="shared" ca="1" si="55"/>
        <v>28</v>
      </c>
      <c r="P406" s="36">
        <f t="shared" ca="1" si="56"/>
        <v>33283.508333333331</v>
      </c>
      <c r="Q406" s="36">
        <f t="shared" ca="1" si="54"/>
        <v>33283.508333333331</v>
      </c>
      <c r="R406" s="637" t="s">
        <v>2713</v>
      </c>
    </row>
    <row r="407" spans="2:18" s="4" customFormat="1" ht="54.95" customHeight="1" x14ac:dyDescent="0.25">
      <c r="B407" s="24">
        <v>44448</v>
      </c>
      <c r="C407" s="24" t="s">
        <v>2351</v>
      </c>
      <c r="D407" s="54" t="s">
        <v>3812</v>
      </c>
      <c r="E407" s="26" t="s">
        <v>3824</v>
      </c>
      <c r="F407" s="54" t="s">
        <v>3825</v>
      </c>
      <c r="G407" s="54" t="s">
        <v>3826</v>
      </c>
      <c r="H407" s="54" t="s">
        <v>3746</v>
      </c>
      <c r="I407" s="54" t="s">
        <v>19</v>
      </c>
      <c r="J407" s="54">
        <v>8290.69</v>
      </c>
      <c r="K407" s="54">
        <v>56.753500000000003</v>
      </c>
      <c r="L407" s="61">
        <f t="shared" si="51"/>
        <v>146.08244425453938</v>
      </c>
      <c r="M407" s="54">
        <v>36</v>
      </c>
      <c r="N407" s="58">
        <f t="shared" si="57"/>
        <v>230.29694444444445</v>
      </c>
      <c r="O407" s="38">
        <f t="shared" ca="1" si="55"/>
        <v>28</v>
      </c>
      <c r="P407" s="36">
        <f t="shared" ca="1" si="56"/>
        <v>1842.3755555555563</v>
      </c>
      <c r="Q407" s="36">
        <f t="shared" ca="1" si="54"/>
        <v>1842.3755555555563</v>
      </c>
      <c r="R407" s="637" t="s">
        <v>2713</v>
      </c>
    </row>
    <row r="408" spans="2:18" s="4" customFormat="1" ht="54.95" customHeight="1" x14ac:dyDescent="0.25">
      <c r="B408" s="24">
        <v>44448</v>
      </c>
      <c r="C408" s="24" t="s">
        <v>2351</v>
      </c>
      <c r="D408" s="54" t="s">
        <v>3812</v>
      </c>
      <c r="E408" s="26" t="s">
        <v>3827</v>
      </c>
      <c r="F408" s="54" t="s">
        <v>3825</v>
      </c>
      <c r="G408" s="54" t="s">
        <v>3826</v>
      </c>
      <c r="H408" s="54" t="s">
        <v>3746</v>
      </c>
      <c r="I408" s="54" t="s">
        <v>19</v>
      </c>
      <c r="J408" s="54">
        <v>8290.69</v>
      </c>
      <c r="K408" s="54">
        <v>56.753500000000003</v>
      </c>
      <c r="L408" s="61">
        <f t="shared" si="51"/>
        <v>146.08244425453938</v>
      </c>
      <c r="M408" s="54">
        <v>36</v>
      </c>
      <c r="N408" s="58">
        <f t="shared" si="57"/>
        <v>230.29694444444445</v>
      </c>
      <c r="O408" s="38">
        <f t="shared" ca="1" si="55"/>
        <v>28</v>
      </c>
      <c r="P408" s="36">
        <f t="shared" ca="1" si="56"/>
        <v>1842.3755555555563</v>
      </c>
      <c r="Q408" s="36">
        <f t="shared" ca="1" si="54"/>
        <v>1842.3755555555563</v>
      </c>
      <c r="R408" s="637" t="s">
        <v>2713</v>
      </c>
    </row>
    <row r="409" spans="2:18" s="4" customFormat="1" ht="54.95" customHeight="1" x14ac:dyDescent="0.25">
      <c r="B409" s="24">
        <v>44448</v>
      </c>
      <c r="C409" s="24" t="s">
        <v>2351</v>
      </c>
      <c r="D409" s="54" t="s">
        <v>3812</v>
      </c>
      <c r="E409" s="26" t="s">
        <v>3828</v>
      </c>
      <c r="F409" s="54" t="s">
        <v>3825</v>
      </c>
      <c r="G409" s="54" t="s">
        <v>3826</v>
      </c>
      <c r="H409" s="54" t="s">
        <v>3746</v>
      </c>
      <c r="I409" s="54" t="s">
        <v>19</v>
      </c>
      <c r="J409" s="54">
        <v>8290.69</v>
      </c>
      <c r="K409" s="54">
        <v>56.753500000000003</v>
      </c>
      <c r="L409" s="61">
        <f t="shared" si="51"/>
        <v>146.08244425453938</v>
      </c>
      <c r="M409" s="54">
        <v>36</v>
      </c>
      <c r="N409" s="58">
        <f t="shared" si="57"/>
        <v>230.29694444444445</v>
      </c>
      <c r="O409" s="38">
        <f t="shared" ca="1" si="55"/>
        <v>28</v>
      </c>
      <c r="P409" s="36">
        <f t="shared" ca="1" si="56"/>
        <v>1842.3755555555563</v>
      </c>
      <c r="Q409" s="36">
        <f t="shared" ca="1" si="54"/>
        <v>1842.3755555555563</v>
      </c>
      <c r="R409" s="637" t="s">
        <v>2713</v>
      </c>
    </row>
    <row r="410" spans="2:18" s="4" customFormat="1" ht="54.95" customHeight="1" x14ac:dyDescent="0.25">
      <c r="B410" s="24">
        <v>44448</v>
      </c>
      <c r="C410" s="24" t="s">
        <v>2351</v>
      </c>
      <c r="D410" s="54" t="s">
        <v>3812</v>
      </c>
      <c r="E410" s="26" t="s">
        <v>3829</v>
      </c>
      <c r="F410" s="54" t="s">
        <v>3825</v>
      </c>
      <c r="G410" s="54" t="s">
        <v>3826</v>
      </c>
      <c r="H410" s="54" t="s">
        <v>3746</v>
      </c>
      <c r="I410" s="54" t="s">
        <v>19</v>
      </c>
      <c r="J410" s="54">
        <v>8290.69</v>
      </c>
      <c r="K410" s="54">
        <v>56.753500000000003</v>
      </c>
      <c r="L410" s="61">
        <f t="shared" si="51"/>
        <v>146.08244425453938</v>
      </c>
      <c r="M410" s="54">
        <v>36</v>
      </c>
      <c r="N410" s="58">
        <f t="shared" si="57"/>
        <v>230.29694444444445</v>
      </c>
      <c r="O410" s="38">
        <f t="shared" ca="1" si="55"/>
        <v>28</v>
      </c>
      <c r="P410" s="36">
        <f t="shared" ca="1" si="56"/>
        <v>1842.3755555555563</v>
      </c>
      <c r="Q410" s="36">
        <f t="shared" ca="1" si="54"/>
        <v>1842.3755555555563</v>
      </c>
      <c r="R410" s="637" t="s">
        <v>2713</v>
      </c>
    </row>
    <row r="411" spans="2:18" s="4" customFormat="1" ht="54.95" customHeight="1" x14ac:dyDescent="0.25">
      <c r="B411" s="24">
        <v>44448</v>
      </c>
      <c r="C411" s="24" t="s">
        <v>2351</v>
      </c>
      <c r="D411" s="54" t="s">
        <v>3812</v>
      </c>
      <c r="E411" s="26" t="s">
        <v>3830</v>
      </c>
      <c r="F411" s="54" t="s">
        <v>3825</v>
      </c>
      <c r="G411" s="54" t="s">
        <v>3826</v>
      </c>
      <c r="H411" s="54" t="s">
        <v>3746</v>
      </c>
      <c r="I411" s="54" t="s">
        <v>19</v>
      </c>
      <c r="J411" s="54">
        <v>8290.69</v>
      </c>
      <c r="K411" s="54">
        <v>56.753500000000003</v>
      </c>
      <c r="L411" s="61">
        <f t="shared" si="51"/>
        <v>146.08244425453938</v>
      </c>
      <c r="M411" s="54">
        <v>36</v>
      </c>
      <c r="N411" s="58">
        <f t="shared" si="57"/>
        <v>230.29694444444445</v>
      </c>
      <c r="O411" s="38">
        <f t="shared" ca="1" si="55"/>
        <v>28</v>
      </c>
      <c r="P411" s="36">
        <f t="shared" ca="1" si="56"/>
        <v>1842.3755555555563</v>
      </c>
      <c r="Q411" s="36">
        <f t="shared" ca="1" si="54"/>
        <v>1842.3755555555563</v>
      </c>
      <c r="R411" s="637" t="s">
        <v>2713</v>
      </c>
    </row>
    <row r="412" spans="2:18" s="4" customFormat="1" ht="81.75" customHeight="1" x14ac:dyDescent="0.25">
      <c r="B412" s="24">
        <v>44448</v>
      </c>
      <c r="C412" s="24" t="s">
        <v>2351</v>
      </c>
      <c r="D412" s="54" t="s">
        <v>3812</v>
      </c>
      <c r="E412" s="26" t="s">
        <v>3831</v>
      </c>
      <c r="F412" s="54" t="s">
        <v>3832</v>
      </c>
      <c r="G412" s="54" t="s">
        <v>3833</v>
      </c>
      <c r="H412" s="54" t="s">
        <v>3746</v>
      </c>
      <c r="I412" s="54" t="s">
        <v>19</v>
      </c>
      <c r="J412" s="54">
        <v>3068</v>
      </c>
      <c r="K412" s="54">
        <v>56.753500000000003</v>
      </c>
      <c r="L412" s="61">
        <f t="shared" si="51"/>
        <v>54.058340014272247</v>
      </c>
      <c r="M412" s="54">
        <v>36</v>
      </c>
      <c r="N412" s="58">
        <f t="shared" si="57"/>
        <v>85.222222222222229</v>
      </c>
      <c r="O412" s="38">
        <f t="shared" ca="1" si="55"/>
        <v>28</v>
      </c>
      <c r="P412" s="36">
        <f t="shared" ca="1" si="56"/>
        <v>681.77777777777737</v>
      </c>
      <c r="Q412" s="36">
        <f t="shared" ca="1" si="54"/>
        <v>681.77777777777737</v>
      </c>
      <c r="R412" s="637" t="s">
        <v>2713</v>
      </c>
    </row>
    <row r="413" spans="2:18" s="4" customFormat="1" ht="75" customHeight="1" x14ac:dyDescent="0.25">
      <c r="B413" s="24">
        <v>44448</v>
      </c>
      <c r="C413" s="24" t="s">
        <v>2351</v>
      </c>
      <c r="D413" s="54" t="s">
        <v>3812</v>
      </c>
      <c r="E413" s="26" t="s">
        <v>3834</v>
      </c>
      <c r="F413" s="54" t="s">
        <v>3832</v>
      </c>
      <c r="G413" s="54" t="s">
        <v>3833</v>
      </c>
      <c r="H413" s="54" t="s">
        <v>3746</v>
      </c>
      <c r="I413" s="54" t="s">
        <v>19</v>
      </c>
      <c r="J413" s="54">
        <v>3068</v>
      </c>
      <c r="K413" s="54">
        <v>56.753500000000003</v>
      </c>
      <c r="L413" s="61">
        <f t="shared" si="51"/>
        <v>54.058340014272247</v>
      </c>
      <c r="M413" s="54">
        <v>36</v>
      </c>
      <c r="N413" s="58">
        <f t="shared" si="57"/>
        <v>85.222222222222229</v>
      </c>
      <c r="O413" s="38">
        <f t="shared" ca="1" si="55"/>
        <v>28</v>
      </c>
      <c r="P413" s="36">
        <f t="shared" ca="1" si="56"/>
        <v>681.77777777777737</v>
      </c>
      <c r="Q413" s="36">
        <f t="shared" ca="1" si="54"/>
        <v>681.77777777777737</v>
      </c>
      <c r="R413" s="637" t="s">
        <v>2713</v>
      </c>
    </row>
    <row r="414" spans="2:18" s="4" customFormat="1" ht="75" customHeight="1" x14ac:dyDescent="0.25">
      <c r="B414" s="24">
        <v>44448</v>
      </c>
      <c r="C414" s="24" t="s">
        <v>2351</v>
      </c>
      <c r="D414" s="54" t="s">
        <v>3812</v>
      </c>
      <c r="E414" s="26" t="s">
        <v>3835</v>
      </c>
      <c r="F414" s="54" t="s">
        <v>3832</v>
      </c>
      <c r="G414" s="54" t="s">
        <v>3833</v>
      </c>
      <c r="H414" s="54" t="s">
        <v>3746</v>
      </c>
      <c r="I414" s="54" t="s">
        <v>19</v>
      </c>
      <c r="J414" s="54">
        <v>3068</v>
      </c>
      <c r="K414" s="54">
        <v>56.753500000000003</v>
      </c>
      <c r="L414" s="61">
        <f t="shared" si="51"/>
        <v>54.058340014272247</v>
      </c>
      <c r="M414" s="54">
        <v>36</v>
      </c>
      <c r="N414" s="58">
        <f t="shared" si="57"/>
        <v>85.222222222222229</v>
      </c>
      <c r="O414" s="38">
        <f t="shared" ca="1" si="55"/>
        <v>28</v>
      </c>
      <c r="P414" s="36">
        <f t="shared" ca="1" si="56"/>
        <v>681.77777777777737</v>
      </c>
      <c r="Q414" s="36">
        <f t="shared" ca="1" si="54"/>
        <v>681.77777777777737</v>
      </c>
      <c r="R414" s="637" t="s">
        <v>2713</v>
      </c>
    </row>
    <row r="415" spans="2:18" s="4" customFormat="1" ht="75" customHeight="1" x14ac:dyDescent="0.25">
      <c r="B415" s="24">
        <v>44448</v>
      </c>
      <c r="C415" s="24" t="s">
        <v>2351</v>
      </c>
      <c r="D415" s="54" t="s">
        <v>3812</v>
      </c>
      <c r="E415" s="26" t="s">
        <v>3836</v>
      </c>
      <c r="F415" s="54" t="s">
        <v>3832</v>
      </c>
      <c r="G415" s="54" t="s">
        <v>3833</v>
      </c>
      <c r="H415" s="54" t="s">
        <v>3746</v>
      </c>
      <c r="I415" s="54" t="s">
        <v>19</v>
      </c>
      <c r="J415" s="54">
        <v>3068</v>
      </c>
      <c r="K415" s="54">
        <v>56.753500000000003</v>
      </c>
      <c r="L415" s="61">
        <f t="shared" si="51"/>
        <v>54.058340014272247</v>
      </c>
      <c r="M415" s="54">
        <v>36</v>
      </c>
      <c r="N415" s="58">
        <f t="shared" si="57"/>
        <v>85.222222222222229</v>
      </c>
      <c r="O415" s="38">
        <f t="shared" ca="1" si="55"/>
        <v>28</v>
      </c>
      <c r="P415" s="36">
        <f t="shared" ca="1" si="56"/>
        <v>681.77777777777737</v>
      </c>
      <c r="Q415" s="36">
        <f t="shared" ca="1" si="54"/>
        <v>681.77777777777737</v>
      </c>
      <c r="R415" s="637" t="s">
        <v>2713</v>
      </c>
    </row>
    <row r="416" spans="2:18" s="4" customFormat="1" ht="75" customHeight="1" x14ac:dyDescent="0.25">
      <c r="B416" s="24">
        <v>44448</v>
      </c>
      <c r="C416" s="24" t="s">
        <v>2351</v>
      </c>
      <c r="D416" s="54" t="s">
        <v>3812</v>
      </c>
      <c r="E416" s="26" t="s">
        <v>3837</v>
      </c>
      <c r="F416" s="54" t="s">
        <v>3832</v>
      </c>
      <c r="G416" s="54" t="s">
        <v>3833</v>
      </c>
      <c r="H416" s="54" t="s">
        <v>3746</v>
      </c>
      <c r="I416" s="54" t="s">
        <v>19</v>
      </c>
      <c r="J416" s="54">
        <v>3068</v>
      </c>
      <c r="K416" s="54">
        <v>56.753500000000003</v>
      </c>
      <c r="L416" s="61">
        <f t="shared" si="51"/>
        <v>54.058340014272247</v>
      </c>
      <c r="M416" s="54">
        <v>36</v>
      </c>
      <c r="N416" s="58">
        <f t="shared" si="57"/>
        <v>85.222222222222229</v>
      </c>
      <c r="O416" s="38">
        <f t="shared" ca="1" si="55"/>
        <v>28</v>
      </c>
      <c r="P416" s="36">
        <f t="shared" ca="1" si="56"/>
        <v>681.77777777777737</v>
      </c>
      <c r="Q416" s="36">
        <f t="shared" ca="1" si="54"/>
        <v>681.77777777777737</v>
      </c>
      <c r="R416" s="637" t="s">
        <v>2713</v>
      </c>
    </row>
    <row r="417" spans="2:18" s="4" customFormat="1" ht="75" customHeight="1" x14ac:dyDescent="0.25">
      <c r="B417" s="24">
        <v>44448</v>
      </c>
      <c r="C417" s="24" t="s">
        <v>2351</v>
      </c>
      <c r="D417" s="54" t="s">
        <v>3812</v>
      </c>
      <c r="E417" s="26" t="s">
        <v>3838</v>
      </c>
      <c r="F417" s="54" t="s">
        <v>3832</v>
      </c>
      <c r="G417" s="54" t="s">
        <v>3833</v>
      </c>
      <c r="H417" s="54" t="s">
        <v>3746</v>
      </c>
      <c r="I417" s="54" t="s">
        <v>19</v>
      </c>
      <c r="J417" s="54">
        <v>3068</v>
      </c>
      <c r="K417" s="54">
        <v>56.753500000000003</v>
      </c>
      <c r="L417" s="61">
        <f t="shared" si="51"/>
        <v>54.058340014272247</v>
      </c>
      <c r="M417" s="54">
        <v>36</v>
      </c>
      <c r="N417" s="58">
        <f t="shared" si="57"/>
        <v>85.222222222222229</v>
      </c>
      <c r="O417" s="38">
        <f t="shared" ca="1" si="55"/>
        <v>28</v>
      </c>
      <c r="P417" s="36">
        <f t="shared" ca="1" si="56"/>
        <v>681.77777777777737</v>
      </c>
      <c r="Q417" s="36">
        <f t="shared" ca="1" si="54"/>
        <v>681.77777777777737</v>
      </c>
      <c r="R417" s="637" t="s">
        <v>2713</v>
      </c>
    </row>
    <row r="418" spans="2:18" s="4" customFormat="1" ht="75" customHeight="1" x14ac:dyDescent="0.25">
      <c r="B418" s="24">
        <v>44448</v>
      </c>
      <c r="C418" s="24" t="s">
        <v>2351</v>
      </c>
      <c r="D418" s="54" t="s">
        <v>3812</v>
      </c>
      <c r="E418" s="26" t="s">
        <v>3839</v>
      </c>
      <c r="F418" s="54" t="s">
        <v>3832</v>
      </c>
      <c r="G418" s="54" t="s">
        <v>3833</v>
      </c>
      <c r="H418" s="54" t="s">
        <v>3746</v>
      </c>
      <c r="I418" s="54" t="s">
        <v>19</v>
      </c>
      <c r="J418" s="54">
        <v>3068</v>
      </c>
      <c r="K418" s="54">
        <v>56.753500000000003</v>
      </c>
      <c r="L418" s="61">
        <f t="shared" si="51"/>
        <v>54.058340014272247</v>
      </c>
      <c r="M418" s="54">
        <v>36</v>
      </c>
      <c r="N418" s="58">
        <f t="shared" si="57"/>
        <v>85.222222222222229</v>
      </c>
      <c r="O418" s="38">
        <f t="shared" ca="1" si="55"/>
        <v>28</v>
      </c>
      <c r="P418" s="36">
        <f t="shared" ca="1" si="56"/>
        <v>681.77777777777737</v>
      </c>
      <c r="Q418" s="36">
        <f t="shared" ca="1" si="54"/>
        <v>681.77777777777737</v>
      </c>
      <c r="R418" s="637" t="s">
        <v>2713</v>
      </c>
    </row>
    <row r="419" spans="2:18" s="4" customFormat="1" ht="75" customHeight="1" x14ac:dyDescent="0.25">
      <c r="B419" s="24">
        <v>44448</v>
      </c>
      <c r="C419" s="24" t="s">
        <v>2351</v>
      </c>
      <c r="D419" s="54" t="s">
        <v>3812</v>
      </c>
      <c r="E419" s="26" t="s">
        <v>3840</v>
      </c>
      <c r="F419" s="54" t="s">
        <v>3832</v>
      </c>
      <c r="G419" s="54" t="s">
        <v>3833</v>
      </c>
      <c r="H419" s="54" t="s">
        <v>3746</v>
      </c>
      <c r="I419" s="54" t="s">
        <v>19</v>
      </c>
      <c r="J419" s="54">
        <v>3068</v>
      </c>
      <c r="K419" s="54">
        <v>56.753500000000003</v>
      </c>
      <c r="L419" s="61">
        <f t="shared" si="51"/>
        <v>54.058340014272247</v>
      </c>
      <c r="M419" s="54">
        <v>36</v>
      </c>
      <c r="N419" s="58">
        <f t="shared" si="57"/>
        <v>85.222222222222229</v>
      </c>
      <c r="O419" s="38">
        <f t="shared" ca="1" si="55"/>
        <v>28</v>
      </c>
      <c r="P419" s="36">
        <f t="shared" ca="1" si="56"/>
        <v>681.77777777777737</v>
      </c>
      <c r="Q419" s="36">
        <f t="shared" ca="1" si="54"/>
        <v>681.77777777777737</v>
      </c>
      <c r="R419" s="637" t="s">
        <v>2713</v>
      </c>
    </row>
    <row r="420" spans="2:18" s="4" customFormat="1" ht="75" customHeight="1" x14ac:dyDescent="0.25">
      <c r="B420" s="24">
        <v>44448</v>
      </c>
      <c r="C420" s="24" t="s">
        <v>2351</v>
      </c>
      <c r="D420" s="54" t="s">
        <v>3812</v>
      </c>
      <c r="E420" s="26" t="s">
        <v>3841</v>
      </c>
      <c r="F420" s="54" t="s">
        <v>3832</v>
      </c>
      <c r="G420" s="54" t="s">
        <v>3833</v>
      </c>
      <c r="H420" s="54" t="s">
        <v>3746</v>
      </c>
      <c r="I420" s="54" t="s">
        <v>19</v>
      </c>
      <c r="J420" s="54">
        <v>3068</v>
      </c>
      <c r="K420" s="54">
        <v>56.753500000000003</v>
      </c>
      <c r="L420" s="61">
        <f t="shared" si="51"/>
        <v>54.058340014272247</v>
      </c>
      <c r="M420" s="54">
        <v>36</v>
      </c>
      <c r="N420" s="58">
        <f t="shared" si="57"/>
        <v>85.222222222222229</v>
      </c>
      <c r="O420" s="38">
        <f t="shared" ca="1" si="55"/>
        <v>28</v>
      </c>
      <c r="P420" s="36">
        <f t="shared" ca="1" si="56"/>
        <v>681.77777777777737</v>
      </c>
      <c r="Q420" s="36">
        <f t="shared" ca="1" si="54"/>
        <v>681.77777777777737</v>
      </c>
      <c r="R420" s="637" t="s">
        <v>2713</v>
      </c>
    </row>
    <row r="421" spans="2:18" s="4" customFormat="1" ht="75" customHeight="1" x14ac:dyDescent="0.25">
      <c r="B421" s="24">
        <v>44448</v>
      </c>
      <c r="C421" s="24" t="s">
        <v>2351</v>
      </c>
      <c r="D421" s="54" t="s">
        <v>3812</v>
      </c>
      <c r="E421" s="26" t="s">
        <v>3842</v>
      </c>
      <c r="F421" s="54" t="s">
        <v>3832</v>
      </c>
      <c r="G421" s="54" t="s">
        <v>3833</v>
      </c>
      <c r="H421" s="54" t="s">
        <v>3746</v>
      </c>
      <c r="I421" s="54" t="s">
        <v>19</v>
      </c>
      <c r="J421" s="54">
        <v>3068</v>
      </c>
      <c r="K421" s="54">
        <v>56.753500000000003</v>
      </c>
      <c r="L421" s="61">
        <f t="shared" si="51"/>
        <v>54.058340014272247</v>
      </c>
      <c r="M421" s="54">
        <v>36</v>
      </c>
      <c r="N421" s="58">
        <f t="shared" si="57"/>
        <v>85.222222222222229</v>
      </c>
      <c r="O421" s="38">
        <f t="shared" ca="1" si="55"/>
        <v>28</v>
      </c>
      <c r="P421" s="36">
        <f t="shared" ca="1" si="56"/>
        <v>681.77777777777737</v>
      </c>
      <c r="Q421" s="36">
        <f t="shared" ca="1" si="54"/>
        <v>681.77777777777737</v>
      </c>
      <c r="R421" s="637" t="s">
        <v>2713</v>
      </c>
    </row>
    <row r="422" spans="2:18" s="4" customFormat="1" ht="43.5" customHeight="1" x14ac:dyDescent="0.25">
      <c r="B422" s="24">
        <v>44448</v>
      </c>
      <c r="C422" s="24" t="s">
        <v>2351</v>
      </c>
      <c r="D422" s="54" t="s">
        <v>3812</v>
      </c>
      <c r="E422" s="26" t="s">
        <v>3843</v>
      </c>
      <c r="F422" s="54" t="s">
        <v>3844</v>
      </c>
      <c r="G422" s="54" t="s">
        <v>18</v>
      </c>
      <c r="H422" s="54" t="s">
        <v>3746</v>
      </c>
      <c r="I422" s="54" t="s">
        <v>19</v>
      </c>
      <c r="J422" s="57">
        <v>29771.34</v>
      </c>
      <c r="K422" s="54">
        <v>56.753500000000003</v>
      </c>
      <c r="L422" s="61">
        <f t="shared" si="51"/>
        <v>524.57275762728284</v>
      </c>
      <c r="M422" s="54">
        <v>36</v>
      </c>
      <c r="N422" s="58">
        <f t="shared" si="57"/>
        <v>826.98166666666668</v>
      </c>
      <c r="O422" s="38">
        <f t="shared" ca="1" si="55"/>
        <v>28</v>
      </c>
      <c r="P422" s="36">
        <f t="shared" ca="1" si="56"/>
        <v>6615.8533333333326</v>
      </c>
      <c r="Q422" s="36">
        <f t="shared" ca="1" si="54"/>
        <v>6615.8533333333326</v>
      </c>
      <c r="R422" s="637" t="s">
        <v>2713</v>
      </c>
    </row>
    <row r="423" spans="2:18" s="4" customFormat="1" ht="58.5" customHeight="1" x14ac:dyDescent="0.25">
      <c r="B423" s="24">
        <v>44448</v>
      </c>
      <c r="C423" s="24" t="s">
        <v>2351</v>
      </c>
      <c r="D423" s="54" t="s">
        <v>3812</v>
      </c>
      <c r="E423" s="26" t="s">
        <v>3845</v>
      </c>
      <c r="F423" s="54" t="s">
        <v>3846</v>
      </c>
      <c r="G423" s="54" t="s">
        <v>18</v>
      </c>
      <c r="H423" s="54" t="s">
        <v>3746</v>
      </c>
      <c r="I423" s="54" t="s">
        <v>19</v>
      </c>
      <c r="J423" s="54">
        <v>1800</v>
      </c>
      <c r="K423" s="54">
        <v>56.753500000000003</v>
      </c>
      <c r="L423" s="61">
        <f t="shared" si="51"/>
        <v>31.716105614631694</v>
      </c>
      <c r="M423" s="54">
        <v>36</v>
      </c>
      <c r="N423" s="58">
        <f t="shared" si="57"/>
        <v>50</v>
      </c>
      <c r="O423" s="38">
        <f t="shared" ca="1" si="55"/>
        <v>28</v>
      </c>
      <c r="P423" s="36">
        <f t="shared" ca="1" si="56"/>
        <v>400</v>
      </c>
      <c r="Q423" s="36">
        <f t="shared" ca="1" si="54"/>
        <v>400</v>
      </c>
      <c r="R423" s="637" t="s">
        <v>2713</v>
      </c>
    </row>
    <row r="424" spans="2:18" s="4" customFormat="1" ht="46.5" customHeight="1" x14ac:dyDescent="0.25">
      <c r="B424" s="24">
        <v>44448</v>
      </c>
      <c r="C424" s="24" t="s">
        <v>2351</v>
      </c>
      <c r="D424" s="54" t="s">
        <v>3812</v>
      </c>
      <c r="E424" s="26" t="s">
        <v>3847</v>
      </c>
      <c r="F424" s="54" t="s">
        <v>3848</v>
      </c>
      <c r="G424" s="54" t="s">
        <v>3849</v>
      </c>
      <c r="H424" s="54" t="s">
        <v>3746</v>
      </c>
      <c r="I424" s="54" t="s">
        <v>19</v>
      </c>
      <c r="J424" s="54">
        <v>3921</v>
      </c>
      <c r="K424" s="54">
        <v>56.753500000000003</v>
      </c>
      <c r="L424" s="61">
        <f t="shared" si="51"/>
        <v>69.088250063872707</v>
      </c>
      <c r="M424" s="54">
        <v>36</v>
      </c>
      <c r="N424" s="58">
        <f t="shared" si="57"/>
        <v>108.91666666666667</v>
      </c>
      <c r="O424" s="38">
        <f t="shared" ca="1" si="55"/>
        <v>28</v>
      </c>
      <c r="P424" s="36">
        <f t="shared" ca="1" si="56"/>
        <v>871.33333333333303</v>
      </c>
      <c r="Q424" s="36">
        <f t="shared" ca="1" si="54"/>
        <v>871.33333333333303</v>
      </c>
      <c r="R424" s="637" t="s">
        <v>2713</v>
      </c>
    </row>
    <row r="425" spans="2:18" s="4" customFormat="1" ht="55.5" customHeight="1" x14ac:dyDescent="0.25">
      <c r="B425" s="24">
        <v>44448</v>
      </c>
      <c r="C425" s="24" t="s">
        <v>2351</v>
      </c>
      <c r="D425" s="54" t="s">
        <v>3812</v>
      </c>
      <c r="E425" s="26" t="s">
        <v>3850</v>
      </c>
      <c r="F425" s="54" t="s">
        <v>3851</v>
      </c>
      <c r="G425" s="60">
        <v>5567</v>
      </c>
      <c r="H425" s="54" t="s">
        <v>3746</v>
      </c>
      <c r="I425" s="54" t="s">
        <v>19</v>
      </c>
      <c r="J425" s="54">
        <v>4437</v>
      </c>
      <c r="K425" s="54">
        <v>56.753500000000003</v>
      </c>
      <c r="L425" s="61">
        <f t="shared" si="51"/>
        <v>78.180200340067131</v>
      </c>
      <c r="M425" s="54">
        <v>36</v>
      </c>
      <c r="N425" s="58">
        <f t="shared" si="57"/>
        <v>123.25</v>
      </c>
      <c r="O425" s="38">
        <f t="shared" ca="1" si="55"/>
        <v>28</v>
      </c>
      <c r="P425" s="36">
        <f t="shared" ca="1" si="56"/>
        <v>986</v>
      </c>
      <c r="Q425" s="36">
        <f t="shared" ca="1" si="54"/>
        <v>986</v>
      </c>
      <c r="R425" s="637" t="s">
        <v>2713</v>
      </c>
    </row>
    <row r="426" spans="2:18" s="4" customFormat="1" ht="48.75" customHeight="1" x14ac:dyDescent="0.25">
      <c r="B426" s="24">
        <v>44448</v>
      </c>
      <c r="C426" s="24" t="s">
        <v>2351</v>
      </c>
      <c r="D426" s="54" t="s">
        <v>3812</v>
      </c>
      <c r="E426" s="26" t="s">
        <v>3852</v>
      </c>
      <c r="F426" s="54" t="s">
        <v>3851</v>
      </c>
      <c r="G426" s="60">
        <v>5567</v>
      </c>
      <c r="H426" s="54" t="s">
        <v>3746</v>
      </c>
      <c r="I426" s="54" t="s">
        <v>19</v>
      </c>
      <c r="J426" s="54">
        <v>4437</v>
      </c>
      <c r="K426" s="54">
        <v>56.753500000000003</v>
      </c>
      <c r="L426" s="61">
        <f t="shared" si="51"/>
        <v>78.180200340067131</v>
      </c>
      <c r="M426" s="54">
        <v>36</v>
      </c>
      <c r="N426" s="58">
        <f t="shared" si="57"/>
        <v>123.25</v>
      </c>
      <c r="O426" s="38">
        <f t="shared" ca="1" si="55"/>
        <v>28</v>
      </c>
      <c r="P426" s="36">
        <f t="shared" ca="1" si="56"/>
        <v>986</v>
      </c>
      <c r="Q426" s="36">
        <f t="shared" ca="1" si="54"/>
        <v>986</v>
      </c>
      <c r="R426" s="637" t="s">
        <v>2713</v>
      </c>
    </row>
    <row r="427" spans="2:18" s="4" customFormat="1" ht="54.75" customHeight="1" x14ac:dyDescent="0.25">
      <c r="B427" s="24">
        <v>44448</v>
      </c>
      <c r="C427" s="24" t="s">
        <v>2351</v>
      </c>
      <c r="D427" s="54" t="s">
        <v>3812</v>
      </c>
      <c r="E427" s="26" t="s">
        <v>3853</v>
      </c>
      <c r="F427" s="54" t="s">
        <v>3854</v>
      </c>
      <c r="G427" s="60">
        <v>5480</v>
      </c>
      <c r="H427" s="54" t="s">
        <v>3746</v>
      </c>
      <c r="I427" s="54" t="s">
        <v>19</v>
      </c>
      <c r="J427" s="54">
        <v>5468</v>
      </c>
      <c r="K427" s="54">
        <v>56.753500000000003</v>
      </c>
      <c r="L427" s="61">
        <f t="shared" si="51"/>
        <v>96.346480833781172</v>
      </c>
      <c r="M427" s="54">
        <v>36</v>
      </c>
      <c r="N427" s="58">
        <f t="shared" si="57"/>
        <v>151.88888888888889</v>
      </c>
      <c r="O427" s="38">
        <f t="shared" ca="1" si="55"/>
        <v>28</v>
      </c>
      <c r="P427" s="36">
        <f t="shared" ca="1" si="56"/>
        <v>1215.1111111111113</v>
      </c>
      <c r="Q427" s="36">
        <f t="shared" ca="1" si="54"/>
        <v>1215.1111111111113</v>
      </c>
      <c r="R427" s="637" t="s">
        <v>2713</v>
      </c>
    </row>
    <row r="428" spans="2:18" s="4" customFormat="1" ht="52.5" customHeight="1" x14ac:dyDescent="0.25">
      <c r="B428" s="24">
        <v>44448</v>
      </c>
      <c r="C428" s="24" t="s">
        <v>2351</v>
      </c>
      <c r="D428" s="54" t="s">
        <v>3812</v>
      </c>
      <c r="E428" s="26" t="s">
        <v>3855</v>
      </c>
      <c r="F428" s="54" t="s">
        <v>3856</v>
      </c>
      <c r="G428" s="60" t="s">
        <v>3857</v>
      </c>
      <c r="H428" s="54" t="s">
        <v>3746</v>
      </c>
      <c r="I428" s="54" t="s">
        <v>19</v>
      </c>
      <c r="J428" s="54">
        <v>3958.99</v>
      </c>
      <c r="K428" s="54">
        <v>56.753500000000003</v>
      </c>
      <c r="L428" s="61">
        <f t="shared" si="51"/>
        <v>69.75763609292818</v>
      </c>
      <c r="M428" s="54">
        <v>36</v>
      </c>
      <c r="N428" s="58">
        <f t="shared" si="57"/>
        <v>109.97194444444443</v>
      </c>
      <c r="O428" s="38">
        <f t="shared" ca="1" si="55"/>
        <v>28</v>
      </c>
      <c r="P428" s="36">
        <f t="shared" ca="1" si="56"/>
        <v>879.77555555555591</v>
      </c>
      <c r="Q428" s="36">
        <f t="shared" ca="1" si="54"/>
        <v>879.77555555555591</v>
      </c>
      <c r="R428" s="637" t="s">
        <v>2713</v>
      </c>
    </row>
    <row r="429" spans="2:18" s="4" customFormat="1" ht="59.25" customHeight="1" x14ac:dyDescent="0.25">
      <c r="B429" s="24">
        <v>44448</v>
      </c>
      <c r="C429" s="24" t="s">
        <v>2351</v>
      </c>
      <c r="D429" s="54" t="s">
        <v>3812</v>
      </c>
      <c r="E429" s="26" t="s">
        <v>4129</v>
      </c>
      <c r="F429" s="54" t="s">
        <v>3856</v>
      </c>
      <c r="G429" s="60" t="s">
        <v>3857</v>
      </c>
      <c r="H429" s="54" t="s">
        <v>3746</v>
      </c>
      <c r="I429" s="54" t="s">
        <v>19</v>
      </c>
      <c r="J429" s="54">
        <v>3958.99</v>
      </c>
      <c r="K429" s="54">
        <v>56.753500000000003</v>
      </c>
      <c r="L429" s="61">
        <f t="shared" si="51"/>
        <v>69.75763609292818</v>
      </c>
      <c r="M429" s="54">
        <v>36</v>
      </c>
      <c r="N429" s="58">
        <f t="shared" si="57"/>
        <v>109.97194444444443</v>
      </c>
      <c r="O429" s="38">
        <f t="shared" ca="1" si="55"/>
        <v>28</v>
      </c>
      <c r="P429" s="36">
        <f t="shared" ca="1" si="56"/>
        <v>879.77555555555591</v>
      </c>
      <c r="Q429" s="36">
        <f t="shared" ca="1" si="54"/>
        <v>879.77555555555591</v>
      </c>
      <c r="R429" s="637" t="s">
        <v>2713</v>
      </c>
    </row>
    <row r="430" spans="2:18" s="4" customFormat="1" ht="60.75" customHeight="1" x14ac:dyDescent="0.25">
      <c r="B430" s="24">
        <v>44448</v>
      </c>
      <c r="C430" s="24" t="s">
        <v>2351</v>
      </c>
      <c r="D430" s="54" t="s">
        <v>3812</v>
      </c>
      <c r="E430" s="26" t="s">
        <v>4130</v>
      </c>
      <c r="F430" s="54" t="s">
        <v>3856</v>
      </c>
      <c r="G430" s="60" t="s">
        <v>3857</v>
      </c>
      <c r="H430" s="54" t="s">
        <v>3746</v>
      </c>
      <c r="I430" s="54" t="s">
        <v>19</v>
      </c>
      <c r="J430" s="54">
        <v>3958.99</v>
      </c>
      <c r="K430" s="54">
        <v>56.753500000000003</v>
      </c>
      <c r="L430" s="61">
        <f t="shared" si="51"/>
        <v>69.75763609292818</v>
      </c>
      <c r="M430" s="54">
        <v>36</v>
      </c>
      <c r="N430" s="58">
        <f t="shared" si="57"/>
        <v>109.97194444444443</v>
      </c>
      <c r="O430" s="38">
        <f t="shared" ca="1" si="55"/>
        <v>28</v>
      </c>
      <c r="P430" s="36">
        <f t="shared" ca="1" si="56"/>
        <v>879.77555555555591</v>
      </c>
      <c r="Q430" s="36">
        <f t="shared" ca="1" si="54"/>
        <v>879.77555555555591</v>
      </c>
      <c r="R430" s="637" t="s">
        <v>2713</v>
      </c>
    </row>
    <row r="431" spans="2:18" s="4" customFormat="1" ht="60.75" customHeight="1" x14ac:dyDescent="0.25">
      <c r="B431" s="24">
        <v>44448</v>
      </c>
      <c r="C431" s="24" t="s">
        <v>2351</v>
      </c>
      <c r="D431" s="54" t="s">
        <v>3812</v>
      </c>
      <c r="E431" s="26" t="s">
        <v>4131</v>
      </c>
      <c r="F431" s="54" t="s">
        <v>3856</v>
      </c>
      <c r="G431" s="60" t="s">
        <v>3857</v>
      </c>
      <c r="H431" s="54" t="s">
        <v>3746</v>
      </c>
      <c r="I431" s="54" t="s">
        <v>19</v>
      </c>
      <c r="J431" s="54">
        <v>3958.99</v>
      </c>
      <c r="K431" s="54">
        <v>56.753500000000003</v>
      </c>
      <c r="L431" s="61">
        <f t="shared" si="51"/>
        <v>69.75763609292818</v>
      </c>
      <c r="M431" s="54">
        <v>36</v>
      </c>
      <c r="N431" s="58">
        <f t="shared" si="57"/>
        <v>109.97194444444443</v>
      </c>
      <c r="O431" s="38">
        <f t="shared" ca="1" si="55"/>
        <v>28</v>
      </c>
      <c r="P431" s="36">
        <f t="shared" ca="1" si="56"/>
        <v>879.77555555555591</v>
      </c>
      <c r="Q431" s="36">
        <f t="shared" ca="1" si="54"/>
        <v>879.77555555555591</v>
      </c>
      <c r="R431" s="637" t="s">
        <v>2713</v>
      </c>
    </row>
    <row r="432" spans="2:18" s="4" customFormat="1" ht="50.25" customHeight="1" x14ac:dyDescent="0.25">
      <c r="B432" s="24">
        <v>44448</v>
      </c>
      <c r="C432" s="24" t="s">
        <v>2351</v>
      </c>
      <c r="D432" s="54" t="s">
        <v>3812</v>
      </c>
      <c r="E432" s="26" t="s">
        <v>4132</v>
      </c>
      <c r="F432" s="54" t="s">
        <v>3856</v>
      </c>
      <c r="G432" s="60" t="s">
        <v>3857</v>
      </c>
      <c r="H432" s="54" t="s">
        <v>3746</v>
      </c>
      <c r="I432" s="54" t="s">
        <v>19</v>
      </c>
      <c r="J432" s="54">
        <v>3958.99</v>
      </c>
      <c r="K432" s="54">
        <v>56.753500000000003</v>
      </c>
      <c r="L432" s="61">
        <f t="shared" si="51"/>
        <v>69.75763609292818</v>
      </c>
      <c r="M432" s="54">
        <v>36</v>
      </c>
      <c r="N432" s="58">
        <f t="shared" si="57"/>
        <v>109.97194444444443</v>
      </c>
      <c r="O432" s="38">
        <f t="shared" ca="1" si="55"/>
        <v>28</v>
      </c>
      <c r="P432" s="36">
        <f t="shared" ca="1" si="56"/>
        <v>879.77555555555591</v>
      </c>
      <c r="Q432" s="36">
        <f t="shared" ca="1" si="54"/>
        <v>879.77555555555591</v>
      </c>
      <c r="R432" s="637" t="s">
        <v>2713</v>
      </c>
    </row>
    <row r="433" spans="2:18" s="4" customFormat="1" ht="55.5" customHeight="1" x14ac:dyDescent="0.25">
      <c r="B433" s="24">
        <v>44448</v>
      </c>
      <c r="C433" s="24" t="s">
        <v>2351</v>
      </c>
      <c r="D433" s="54" t="s">
        <v>3812</v>
      </c>
      <c r="E433" s="26" t="s">
        <v>4133</v>
      </c>
      <c r="F433" s="54" t="s">
        <v>3856</v>
      </c>
      <c r="G433" s="60" t="s">
        <v>3857</v>
      </c>
      <c r="H433" s="54" t="s">
        <v>3746</v>
      </c>
      <c r="I433" s="54" t="s">
        <v>19</v>
      </c>
      <c r="J433" s="54">
        <v>3958.99</v>
      </c>
      <c r="K433" s="54">
        <v>56.753500000000003</v>
      </c>
      <c r="L433" s="61">
        <f t="shared" si="51"/>
        <v>69.75763609292818</v>
      </c>
      <c r="M433" s="54">
        <v>36</v>
      </c>
      <c r="N433" s="58">
        <f t="shared" si="57"/>
        <v>109.97194444444443</v>
      </c>
      <c r="O433" s="38">
        <f t="shared" ca="1" si="55"/>
        <v>28</v>
      </c>
      <c r="P433" s="36">
        <f t="shared" ca="1" si="56"/>
        <v>879.77555555555591</v>
      </c>
      <c r="Q433" s="36">
        <f t="shared" ca="1" si="54"/>
        <v>879.77555555555591</v>
      </c>
      <c r="R433" s="637" t="s">
        <v>2713</v>
      </c>
    </row>
    <row r="434" spans="2:18" s="4" customFormat="1" ht="36" customHeight="1" x14ac:dyDescent="0.25">
      <c r="B434" s="24">
        <v>44448</v>
      </c>
      <c r="C434" s="24" t="s">
        <v>2351</v>
      </c>
      <c r="D434" s="54" t="s">
        <v>3812</v>
      </c>
      <c r="E434" s="26" t="s">
        <v>4134</v>
      </c>
      <c r="F434" s="54" t="s">
        <v>3858</v>
      </c>
      <c r="G434" s="60" t="s">
        <v>3859</v>
      </c>
      <c r="H434" s="54" t="s">
        <v>3746</v>
      </c>
      <c r="I434" s="54" t="s">
        <v>19</v>
      </c>
      <c r="J434" s="54">
        <v>986.87</v>
      </c>
      <c r="K434" s="54">
        <v>56.753500000000003</v>
      </c>
      <c r="L434" s="61">
        <f t="shared" si="51"/>
        <v>17.388707304395322</v>
      </c>
      <c r="M434" s="54">
        <v>36</v>
      </c>
      <c r="N434" s="58">
        <f t="shared" si="57"/>
        <v>27.413055555555555</v>
      </c>
      <c r="O434" s="38">
        <f t="shared" ca="1" si="55"/>
        <v>28</v>
      </c>
      <c r="P434" s="36">
        <f t="shared" ca="1" si="56"/>
        <v>219.30444444444447</v>
      </c>
      <c r="Q434" s="36">
        <f t="shared" ca="1" si="54"/>
        <v>219.30444444444447</v>
      </c>
      <c r="R434" s="637" t="s">
        <v>2713</v>
      </c>
    </row>
    <row r="435" spans="2:18" s="4" customFormat="1" ht="36" customHeight="1" x14ac:dyDescent="0.25">
      <c r="B435" s="24">
        <v>44448</v>
      </c>
      <c r="C435" s="24" t="s">
        <v>2351</v>
      </c>
      <c r="D435" s="54" t="s">
        <v>3812</v>
      </c>
      <c r="E435" s="26" t="s">
        <v>4135</v>
      </c>
      <c r="F435" s="54" t="s">
        <v>3858</v>
      </c>
      <c r="G435" s="60" t="s">
        <v>3859</v>
      </c>
      <c r="H435" s="54" t="s">
        <v>3746</v>
      </c>
      <c r="I435" s="54" t="s">
        <v>19</v>
      </c>
      <c r="J435" s="54">
        <v>986.87</v>
      </c>
      <c r="K435" s="54">
        <v>56.753500000000003</v>
      </c>
      <c r="L435" s="61">
        <f t="shared" si="51"/>
        <v>17.388707304395322</v>
      </c>
      <c r="M435" s="54">
        <v>36</v>
      </c>
      <c r="N435" s="58">
        <f t="shared" si="57"/>
        <v>27.413055555555555</v>
      </c>
      <c r="O435" s="38">
        <f t="shared" ca="1" si="55"/>
        <v>28</v>
      </c>
      <c r="P435" s="36">
        <f t="shared" ca="1" si="56"/>
        <v>219.30444444444447</v>
      </c>
      <c r="Q435" s="36">
        <f t="shared" ca="1" si="54"/>
        <v>219.30444444444447</v>
      </c>
      <c r="R435" s="637" t="s">
        <v>2713</v>
      </c>
    </row>
    <row r="436" spans="2:18" s="4" customFormat="1" ht="36" customHeight="1" x14ac:dyDescent="0.25">
      <c r="B436" s="24">
        <v>44448</v>
      </c>
      <c r="C436" s="24" t="s">
        <v>2351</v>
      </c>
      <c r="D436" s="54" t="s">
        <v>3812</v>
      </c>
      <c r="E436" s="26" t="s">
        <v>4136</v>
      </c>
      <c r="F436" s="54" t="s">
        <v>3858</v>
      </c>
      <c r="G436" s="60" t="s">
        <v>3859</v>
      </c>
      <c r="H436" s="54" t="s">
        <v>3746</v>
      </c>
      <c r="I436" s="54" t="s">
        <v>19</v>
      </c>
      <c r="J436" s="54">
        <v>986.87</v>
      </c>
      <c r="K436" s="54">
        <v>56.753500000000003</v>
      </c>
      <c r="L436" s="61">
        <f t="shared" si="51"/>
        <v>17.388707304395322</v>
      </c>
      <c r="M436" s="54">
        <v>36</v>
      </c>
      <c r="N436" s="58">
        <f t="shared" si="57"/>
        <v>27.413055555555555</v>
      </c>
      <c r="O436" s="38">
        <f t="shared" ca="1" si="55"/>
        <v>28</v>
      </c>
      <c r="P436" s="36">
        <f t="shared" ca="1" si="56"/>
        <v>219.30444444444447</v>
      </c>
      <c r="Q436" s="36">
        <f t="shared" ca="1" si="54"/>
        <v>219.30444444444447</v>
      </c>
      <c r="R436" s="637" t="s">
        <v>2713</v>
      </c>
    </row>
    <row r="437" spans="2:18" s="4" customFormat="1" ht="36" customHeight="1" x14ac:dyDescent="0.25">
      <c r="B437" s="24">
        <v>44448</v>
      </c>
      <c r="C437" s="24" t="s">
        <v>2351</v>
      </c>
      <c r="D437" s="54" t="s">
        <v>3812</v>
      </c>
      <c r="E437" s="26" t="s">
        <v>4137</v>
      </c>
      <c r="F437" s="54" t="s">
        <v>3858</v>
      </c>
      <c r="G437" s="60" t="s">
        <v>3859</v>
      </c>
      <c r="H437" s="54" t="s">
        <v>3746</v>
      </c>
      <c r="I437" s="54" t="s">
        <v>19</v>
      </c>
      <c r="J437" s="54">
        <v>986.87</v>
      </c>
      <c r="K437" s="54">
        <v>56.753500000000003</v>
      </c>
      <c r="L437" s="61">
        <f t="shared" si="51"/>
        <v>17.388707304395322</v>
      </c>
      <c r="M437" s="54">
        <v>36</v>
      </c>
      <c r="N437" s="58">
        <f t="shared" si="57"/>
        <v>27.413055555555555</v>
      </c>
      <c r="O437" s="38">
        <f t="shared" ca="1" si="55"/>
        <v>28</v>
      </c>
      <c r="P437" s="36">
        <f t="shared" ca="1" si="56"/>
        <v>219.30444444444447</v>
      </c>
      <c r="Q437" s="36">
        <f t="shared" ca="1" si="54"/>
        <v>219.30444444444447</v>
      </c>
      <c r="R437" s="637" t="s">
        <v>2713</v>
      </c>
    </row>
    <row r="438" spans="2:18" s="4" customFormat="1" ht="36" customHeight="1" x14ac:dyDescent="0.25">
      <c r="B438" s="24">
        <v>44448</v>
      </c>
      <c r="C438" s="24" t="s">
        <v>2351</v>
      </c>
      <c r="D438" s="54" t="s">
        <v>3812</v>
      </c>
      <c r="E438" s="26" t="s">
        <v>4138</v>
      </c>
      <c r="F438" s="54" t="s">
        <v>3858</v>
      </c>
      <c r="G438" s="60" t="s">
        <v>3859</v>
      </c>
      <c r="H438" s="54" t="s">
        <v>3746</v>
      </c>
      <c r="I438" s="54" t="s">
        <v>19</v>
      </c>
      <c r="J438" s="54">
        <v>986.87</v>
      </c>
      <c r="K438" s="54">
        <v>56.753500000000003</v>
      </c>
      <c r="L438" s="61">
        <f t="shared" si="51"/>
        <v>17.388707304395322</v>
      </c>
      <c r="M438" s="54">
        <v>36</v>
      </c>
      <c r="N438" s="58">
        <f t="shared" si="57"/>
        <v>27.413055555555555</v>
      </c>
      <c r="O438" s="38">
        <f t="shared" ca="1" si="55"/>
        <v>28</v>
      </c>
      <c r="P438" s="36">
        <f t="shared" ca="1" si="56"/>
        <v>219.30444444444447</v>
      </c>
      <c r="Q438" s="36">
        <f t="shared" ca="1" si="54"/>
        <v>219.30444444444447</v>
      </c>
      <c r="R438" s="637" t="s">
        <v>2713</v>
      </c>
    </row>
    <row r="439" spans="2:18" s="4" customFormat="1" ht="36" customHeight="1" x14ac:dyDescent="0.25">
      <c r="B439" s="24">
        <v>44448</v>
      </c>
      <c r="C439" s="24" t="s">
        <v>2351</v>
      </c>
      <c r="D439" s="54" t="s">
        <v>3812</v>
      </c>
      <c r="E439" s="26" t="s">
        <v>4139</v>
      </c>
      <c r="F439" s="54" t="s">
        <v>3858</v>
      </c>
      <c r="G439" s="60" t="s">
        <v>3859</v>
      </c>
      <c r="H439" s="54" t="s">
        <v>3746</v>
      </c>
      <c r="I439" s="54" t="s">
        <v>19</v>
      </c>
      <c r="J439" s="54">
        <v>986.87</v>
      </c>
      <c r="K439" s="54">
        <v>56.753500000000003</v>
      </c>
      <c r="L439" s="61">
        <f t="shared" si="51"/>
        <v>17.388707304395322</v>
      </c>
      <c r="M439" s="54">
        <v>36</v>
      </c>
      <c r="N439" s="58">
        <f t="shared" si="57"/>
        <v>27.413055555555555</v>
      </c>
      <c r="O439" s="38">
        <f t="shared" ca="1" si="55"/>
        <v>28</v>
      </c>
      <c r="P439" s="36">
        <f t="shared" ca="1" si="56"/>
        <v>219.30444444444447</v>
      </c>
      <c r="Q439" s="36">
        <f t="shared" ca="1" si="54"/>
        <v>219.30444444444447</v>
      </c>
      <c r="R439" s="637" t="s">
        <v>2713</v>
      </c>
    </row>
    <row r="440" spans="2:18" s="4" customFormat="1" ht="36" customHeight="1" x14ac:dyDescent="0.25">
      <c r="B440" s="24">
        <v>44448</v>
      </c>
      <c r="C440" s="24" t="s">
        <v>2351</v>
      </c>
      <c r="D440" s="54" t="s">
        <v>3812</v>
      </c>
      <c r="E440" s="26" t="s">
        <v>4140</v>
      </c>
      <c r="F440" s="54" t="s">
        <v>3858</v>
      </c>
      <c r="G440" s="60" t="s">
        <v>3860</v>
      </c>
      <c r="H440" s="54" t="s">
        <v>3746</v>
      </c>
      <c r="I440" s="54" t="s">
        <v>19</v>
      </c>
      <c r="J440" s="54">
        <v>986.87</v>
      </c>
      <c r="K440" s="54">
        <v>56.753500000000003</v>
      </c>
      <c r="L440" s="61">
        <f t="shared" si="51"/>
        <v>17.388707304395322</v>
      </c>
      <c r="M440" s="54">
        <v>36</v>
      </c>
      <c r="N440" s="58">
        <f t="shared" si="57"/>
        <v>27.413055555555555</v>
      </c>
      <c r="O440" s="38">
        <f t="shared" ca="1" si="55"/>
        <v>28</v>
      </c>
      <c r="P440" s="36">
        <f t="shared" ca="1" si="56"/>
        <v>219.30444444444447</v>
      </c>
      <c r="Q440" s="36">
        <f t="shared" ca="1" si="54"/>
        <v>219.30444444444447</v>
      </c>
      <c r="R440" s="637" t="s">
        <v>2713</v>
      </c>
    </row>
    <row r="441" spans="2:18" s="4" customFormat="1" ht="36" customHeight="1" x14ac:dyDescent="0.25">
      <c r="B441" s="24">
        <v>44448</v>
      </c>
      <c r="C441" s="24" t="s">
        <v>2351</v>
      </c>
      <c r="D441" s="54" t="s">
        <v>3812</v>
      </c>
      <c r="E441" s="26" t="s">
        <v>4141</v>
      </c>
      <c r="F441" s="54" t="s">
        <v>3858</v>
      </c>
      <c r="G441" s="60" t="s">
        <v>3861</v>
      </c>
      <c r="H441" s="54" t="s">
        <v>3746</v>
      </c>
      <c r="I441" s="54" t="s">
        <v>19</v>
      </c>
      <c r="J441" s="54">
        <v>986.87</v>
      </c>
      <c r="K441" s="54">
        <v>56.753500000000003</v>
      </c>
      <c r="L441" s="61">
        <f t="shared" si="51"/>
        <v>17.388707304395322</v>
      </c>
      <c r="M441" s="54">
        <v>36</v>
      </c>
      <c r="N441" s="58">
        <f t="shared" si="57"/>
        <v>27.413055555555555</v>
      </c>
      <c r="O441" s="38">
        <f t="shared" ca="1" si="55"/>
        <v>28</v>
      </c>
      <c r="P441" s="36">
        <f t="shared" ca="1" si="56"/>
        <v>219.30444444444447</v>
      </c>
      <c r="Q441" s="36">
        <f t="shared" ca="1" si="54"/>
        <v>219.30444444444447</v>
      </c>
      <c r="R441" s="637" t="s">
        <v>2713</v>
      </c>
    </row>
    <row r="442" spans="2:18" s="4" customFormat="1" ht="36" customHeight="1" x14ac:dyDescent="0.25">
      <c r="B442" s="24">
        <v>44448</v>
      </c>
      <c r="C442" s="24" t="s">
        <v>2351</v>
      </c>
      <c r="D442" s="54" t="s">
        <v>3812</v>
      </c>
      <c r="E442" s="26" t="s">
        <v>4142</v>
      </c>
      <c r="F442" s="54" t="s">
        <v>3858</v>
      </c>
      <c r="G442" s="60" t="s">
        <v>3862</v>
      </c>
      <c r="H442" s="54" t="s">
        <v>3746</v>
      </c>
      <c r="I442" s="54" t="s">
        <v>19</v>
      </c>
      <c r="J442" s="54">
        <v>986.87</v>
      </c>
      <c r="K442" s="54">
        <v>56.753500000000003</v>
      </c>
      <c r="L442" s="61">
        <f t="shared" si="51"/>
        <v>17.388707304395322</v>
      </c>
      <c r="M442" s="54">
        <v>36</v>
      </c>
      <c r="N442" s="58">
        <f t="shared" si="57"/>
        <v>27.413055555555555</v>
      </c>
      <c r="O442" s="38">
        <f t="shared" ca="1" si="55"/>
        <v>28</v>
      </c>
      <c r="P442" s="36">
        <f t="shared" ca="1" si="56"/>
        <v>219.30444444444447</v>
      </c>
      <c r="Q442" s="36">
        <f t="shared" ref="Q442:Q505" ca="1" si="58">IF(P442&lt;1,1,P442)</f>
        <v>219.30444444444447</v>
      </c>
      <c r="R442" s="637" t="s">
        <v>2713</v>
      </c>
    </row>
    <row r="443" spans="2:18" s="4" customFormat="1" ht="36" customHeight="1" x14ac:dyDescent="0.25">
      <c r="B443" s="24">
        <v>44448</v>
      </c>
      <c r="C443" s="24" t="s">
        <v>2351</v>
      </c>
      <c r="D443" s="54" t="s">
        <v>3812</v>
      </c>
      <c r="E443" s="26" t="s">
        <v>4143</v>
      </c>
      <c r="F443" s="54" t="s">
        <v>3858</v>
      </c>
      <c r="G443" s="60" t="s">
        <v>3863</v>
      </c>
      <c r="H443" s="54" t="s">
        <v>3746</v>
      </c>
      <c r="I443" s="54" t="s">
        <v>19</v>
      </c>
      <c r="J443" s="54">
        <v>986.87</v>
      </c>
      <c r="K443" s="54">
        <v>56.753500000000003</v>
      </c>
      <c r="L443" s="61">
        <f t="shared" si="51"/>
        <v>17.388707304395322</v>
      </c>
      <c r="M443" s="54">
        <v>36</v>
      </c>
      <c r="N443" s="58">
        <f t="shared" si="57"/>
        <v>27.413055555555555</v>
      </c>
      <c r="O443" s="38">
        <f t="shared" ca="1" si="55"/>
        <v>28</v>
      </c>
      <c r="P443" s="36">
        <f t="shared" ca="1" si="56"/>
        <v>219.30444444444447</v>
      </c>
      <c r="Q443" s="36">
        <f t="shared" ca="1" si="58"/>
        <v>219.30444444444447</v>
      </c>
      <c r="R443" s="637" t="s">
        <v>2713</v>
      </c>
    </row>
    <row r="444" spans="2:18" s="4" customFormat="1" ht="39.950000000000003" customHeight="1" x14ac:dyDescent="0.25">
      <c r="B444" s="24">
        <v>44448</v>
      </c>
      <c r="C444" s="24" t="s">
        <v>2351</v>
      </c>
      <c r="D444" s="54" t="s">
        <v>3812</v>
      </c>
      <c r="E444" s="26" t="s">
        <v>4144</v>
      </c>
      <c r="F444" s="54" t="s">
        <v>3865</v>
      </c>
      <c r="G444" s="54" t="s">
        <v>3866</v>
      </c>
      <c r="H444" s="54" t="s">
        <v>3746</v>
      </c>
      <c r="I444" s="54" t="s">
        <v>19</v>
      </c>
      <c r="J444" s="54">
        <v>4383</v>
      </c>
      <c r="K444" s="54">
        <v>56.753500000000003</v>
      </c>
      <c r="L444" s="61">
        <f t="shared" si="51"/>
        <v>77.228717171628176</v>
      </c>
      <c r="M444" s="54">
        <v>36</v>
      </c>
      <c r="N444" s="58">
        <f t="shared" si="57"/>
        <v>121.75</v>
      </c>
      <c r="O444" s="38">
        <f t="shared" ca="1" si="55"/>
        <v>28</v>
      </c>
      <c r="P444" s="36">
        <f t="shared" ca="1" si="56"/>
        <v>974</v>
      </c>
      <c r="Q444" s="36">
        <f t="shared" ca="1" si="58"/>
        <v>974</v>
      </c>
      <c r="R444" s="637" t="s">
        <v>2713</v>
      </c>
    </row>
    <row r="445" spans="2:18" s="4" customFormat="1" ht="57" customHeight="1" x14ac:dyDescent="0.25">
      <c r="B445" s="24">
        <v>44448</v>
      </c>
      <c r="C445" s="24" t="s">
        <v>2351</v>
      </c>
      <c r="D445" s="54" t="s">
        <v>3812</v>
      </c>
      <c r="E445" s="26" t="s">
        <v>4145</v>
      </c>
      <c r="F445" s="54" t="s">
        <v>3865</v>
      </c>
      <c r="G445" s="54" t="s">
        <v>3866</v>
      </c>
      <c r="H445" s="54" t="s">
        <v>3746</v>
      </c>
      <c r="I445" s="54" t="s">
        <v>19</v>
      </c>
      <c r="J445" s="54">
        <v>4383</v>
      </c>
      <c r="K445" s="54">
        <v>56.753500000000003</v>
      </c>
      <c r="L445" s="61">
        <f t="shared" si="51"/>
        <v>77.228717171628176</v>
      </c>
      <c r="M445" s="54">
        <v>36</v>
      </c>
      <c r="N445" s="58">
        <f t="shared" si="57"/>
        <v>121.75</v>
      </c>
      <c r="O445" s="38">
        <f t="shared" ca="1" si="55"/>
        <v>28</v>
      </c>
      <c r="P445" s="36">
        <f t="shared" ca="1" si="56"/>
        <v>974</v>
      </c>
      <c r="Q445" s="36">
        <f t="shared" ca="1" si="58"/>
        <v>974</v>
      </c>
      <c r="R445" s="637" t="s">
        <v>2713</v>
      </c>
    </row>
    <row r="446" spans="2:18" s="4" customFormat="1" ht="48" customHeight="1" x14ac:dyDescent="0.25">
      <c r="B446" s="24">
        <v>44448</v>
      </c>
      <c r="C446" s="24" t="s">
        <v>2351</v>
      </c>
      <c r="D446" s="54" t="s">
        <v>3812</v>
      </c>
      <c r="E446" s="26" t="s">
        <v>4146</v>
      </c>
      <c r="F446" s="54" t="s">
        <v>3865</v>
      </c>
      <c r="G446" s="54" t="s">
        <v>3866</v>
      </c>
      <c r="H446" s="54" t="s">
        <v>3746</v>
      </c>
      <c r="I446" s="54" t="s">
        <v>19</v>
      </c>
      <c r="J446" s="54">
        <v>4383</v>
      </c>
      <c r="K446" s="54">
        <v>56.753500000000003</v>
      </c>
      <c r="L446" s="61">
        <f t="shared" si="51"/>
        <v>77.228717171628176</v>
      </c>
      <c r="M446" s="54">
        <v>36</v>
      </c>
      <c r="N446" s="58">
        <f t="shared" si="57"/>
        <v>121.75</v>
      </c>
      <c r="O446" s="38">
        <f t="shared" ca="1" si="55"/>
        <v>28</v>
      </c>
      <c r="P446" s="36">
        <f t="shared" ca="1" si="56"/>
        <v>974</v>
      </c>
      <c r="Q446" s="36">
        <f t="shared" ca="1" si="58"/>
        <v>974</v>
      </c>
      <c r="R446" s="637" t="s">
        <v>2713</v>
      </c>
    </row>
    <row r="447" spans="2:18" s="4" customFormat="1" ht="47.25" customHeight="1" x14ac:dyDescent="0.25">
      <c r="B447" s="24">
        <v>44448</v>
      </c>
      <c r="C447" s="24" t="s">
        <v>2351</v>
      </c>
      <c r="D447" s="54" t="s">
        <v>3812</v>
      </c>
      <c r="E447" s="26" t="s">
        <v>4147</v>
      </c>
      <c r="F447" s="54" t="s">
        <v>3865</v>
      </c>
      <c r="G447" s="54" t="s">
        <v>3866</v>
      </c>
      <c r="H447" s="54" t="s">
        <v>3746</v>
      </c>
      <c r="I447" s="54" t="s">
        <v>19</v>
      </c>
      <c r="J447" s="54">
        <v>4383</v>
      </c>
      <c r="K447" s="54">
        <v>56.753500000000003</v>
      </c>
      <c r="L447" s="61">
        <f t="shared" si="51"/>
        <v>77.228717171628176</v>
      </c>
      <c r="M447" s="54">
        <v>36</v>
      </c>
      <c r="N447" s="58">
        <f t="shared" si="57"/>
        <v>121.75</v>
      </c>
      <c r="O447" s="38">
        <f t="shared" ca="1" si="55"/>
        <v>28</v>
      </c>
      <c r="P447" s="36">
        <f t="shared" ca="1" si="56"/>
        <v>974</v>
      </c>
      <c r="Q447" s="36">
        <f t="shared" ca="1" si="58"/>
        <v>974</v>
      </c>
      <c r="R447" s="637" t="s">
        <v>2713</v>
      </c>
    </row>
    <row r="448" spans="2:18" s="4" customFormat="1" ht="51" customHeight="1" x14ac:dyDescent="0.25">
      <c r="B448" s="24">
        <v>44448</v>
      </c>
      <c r="C448" s="24" t="s">
        <v>2351</v>
      </c>
      <c r="D448" s="54" t="s">
        <v>3812</v>
      </c>
      <c r="E448" s="26" t="s">
        <v>4148</v>
      </c>
      <c r="F448" s="54" t="s">
        <v>3865</v>
      </c>
      <c r="G448" s="54" t="s">
        <v>3866</v>
      </c>
      <c r="H448" s="54" t="s">
        <v>3746</v>
      </c>
      <c r="I448" s="54" t="s">
        <v>19</v>
      </c>
      <c r="J448" s="54">
        <v>4383</v>
      </c>
      <c r="K448" s="54">
        <v>56.753500000000003</v>
      </c>
      <c r="L448" s="61">
        <f t="shared" si="51"/>
        <v>77.228717171628176</v>
      </c>
      <c r="M448" s="54">
        <v>36</v>
      </c>
      <c r="N448" s="58">
        <f t="shared" si="57"/>
        <v>121.75</v>
      </c>
      <c r="O448" s="38">
        <f t="shared" ca="1" si="55"/>
        <v>28</v>
      </c>
      <c r="P448" s="36">
        <f t="shared" ca="1" si="56"/>
        <v>974</v>
      </c>
      <c r="Q448" s="36">
        <f t="shared" ca="1" si="58"/>
        <v>974</v>
      </c>
      <c r="R448" s="637" t="s">
        <v>2713</v>
      </c>
    </row>
    <row r="449" spans="2:18" s="4" customFormat="1" ht="46.5" customHeight="1" x14ac:dyDescent="0.25">
      <c r="B449" s="24">
        <v>44448</v>
      </c>
      <c r="C449" s="24" t="s">
        <v>2351</v>
      </c>
      <c r="D449" s="54" t="s">
        <v>3812</v>
      </c>
      <c r="E449" s="26" t="s">
        <v>4149</v>
      </c>
      <c r="F449" s="54" t="s">
        <v>3865</v>
      </c>
      <c r="G449" s="54" t="s">
        <v>3866</v>
      </c>
      <c r="H449" s="54" t="s">
        <v>3746</v>
      </c>
      <c r="I449" s="54" t="s">
        <v>19</v>
      </c>
      <c r="J449" s="54">
        <v>4383</v>
      </c>
      <c r="K449" s="54">
        <v>56.753500000000003</v>
      </c>
      <c r="L449" s="61">
        <f t="shared" si="51"/>
        <v>77.228717171628176</v>
      </c>
      <c r="M449" s="54">
        <v>36</v>
      </c>
      <c r="N449" s="58">
        <f t="shared" si="57"/>
        <v>121.75</v>
      </c>
      <c r="O449" s="38">
        <f t="shared" ref="O449:O512" ca="1" si="59">IF(B449&lt;&gt;0,(ROUND((NOW()-B449)/30,0)),0)</f>
        <v>28</v>
      </c>
      <c r="P449" s="36">
        <f t="shared" ca="1" si="56"/>
        <v>974</v>
      </c>
      <c r="Q449" s="36">
        <f t="shared" ca="1" si="58"/>
        <v>974</v>
      </c>
      <c r="R449" s="637" t="s">
        <v>2713</v>
      </c>
    </row>
    <row r="450" spans="2:18" s="4" customFormat="1" ht="53.25" customHeight="1" x14ac:dyDescent="0.25">
      <c r="B450" s="24">
        <v>44448</v>
      </c>
      <c r="C450" s="24" t="s">
        <v>2351</v>
      </c>
      <c r="D450" s="54" t="s">
        <v>3812</v>
      </c>
      <c r="E450" s="26" t="s">
        <v>4150</v>
      </c>
      <c r="F450" s="54" t="s">
        <v>3865</v>
      </c>
      <c r="G450" s="54" t="s">
        <v>3866</v>
      </c>
      <c r="H450" s="54" t="s">
        <v>3746</v>
      </c>
      <c r="I450" s="54" t="s">
        <v>19</v>
      </c>
      <c r="J450" s="54">
        <v>4383</v>
      </c>
      <c r="K450" s="54">
        <v>56.753500000000003</v>
      </c>
      <c r="L450" s="61">
        <f t="shared" si="51"/>
        <v>77.228717171628176</v>
      </c>
      <c r="M450" s="54">
        <v>36</v>
      </c>
      <c r="N450" s="58">
        <f t="shared" si="57"/>
        <v>121.75</v>
      </c>
      <c r="O450" s="38">
        <f t="shared" ca="1" si="59"/>
        <v>28</v>
      </c>
      <c r="P450" s="36">
        <f t="shared" ca="1" si="56"/>
        <v>974</v>
      </c>
      <c r="Q450" s="36">
        <f t="shared" ca="1" si="58"/>
        <v>974</v>
      </c>
      <c r="R450" s="637" t="s">
        <v>2713</v>
      </c>
    </row>
    <row r="451" spans="2:18" s="4" customFormat="1" ht="51" x14ac:dyDescent="0.25">
      <c r="B451" s="24">
        <v>44448</v>
      </c>
      <c r="C451" s="24" t="s">
        <v>2351</v>
      </c>
      <c r="D451" s="54" t="s">
        <v>3812</v>
      </c>
      <c r="E451" s="26" t="s">
        <v>4151</v>
      </c>
      <c r="F451" s="54" t="s">
        <v>3865</v>
      </c>
      <c r="G451" s="54" t="s">
        <v>3866</v>
      </c>
      <c r="H451" s="54" t="s">
        <v>3746</v>
      </c>
      <c r="I451" s="54" t="s">
        <v>19</v>
      </c>
      <c r="J451" s="54">
        <v>4383</v>
      </c>
      <c r="K451" s="54">
        <v>56.753500000000003</v>
      </c>
      <c r="L451" s="61">
        <f t="shared" si="51"/>
        <v>77.228717171628176</v>
      </c>
      <c r="M451" s="54">
        <v>36</v>
      </c>
      <c r="N451" s="58">
        <f t="shared" si="57"/>
        <v>121.75</v>
      </c>
      <c r="O451" s="38">
        <f t="shared" ca="1" si="59"/>
        <v>28</v>
      </c>
      <c r="P451" s="36">
        <f t="shared" ca="1" si="56"/>
        <v>974</v>
      </c>
      <c r="Q451" s="36">
        <f t="shared" ca="1" si="58"/>
        <v>974</v>
      </c>
      <c r="R451" s="637" t="s">
        <v>2713</v>
      </c>
    </row>
    <row r="452" spans="2:18" s="4" customFormat="1" ht="51" x14ac:dyDescent="0.25">
      <c r="B452" s="24">
        <v>44448</v>
      </c>
      <c r="C452" s="24" t="s">
        <v>2351</v>
      </c>
      <c r="D452" s="54" t="s">
        <v>3812</v>
      </c>
      <c r="E452" s="26" t="s">
        <v>4152</v>
      </c>
      <c r="F452" s="54" t="s">
        <v>3865</v>
      </c>
      <c r="G452" s="54" t="s">
        <v>3866</v>
      </c>
      <c r="H452" s="54" t="s">
        <v>3746</v>
      </c>
      <c r="I452" s="54" t="s">
        <v>19</v>
      </c>
      <c r="J452" s="54">
        <v>4383</v>
      </c>
      <c r="K452" s="54">
        <v>56.753500000000003</v>
      </c>
      <c r="L452" s="61">
        <f t="shared" si="51"/>
        <v>77.228717171628176</v>
      </c>
      <c r="M452" s="54">
        <v>36</v>
      </c>
      <c r="N452" s="58">
        <f t="shared" si="57"/>
        <v>121.75</v>
      </c>
      <c r="O452" s="38">
        <f t="shared" ca="1" si="59"/>
        <v>28</v>
      </c>
      <c r="P452" s="36">
        <f t="shared" ca="1" si="56"/>
        <v>974</v>
      </c>
      <c r="Q452" s="36">
        <f t="shared" ca="1" si="58"/>
        <v>974</v>
      </c>
      <c r="R452" s="637" t="s">
        <v>2713</v>
      </c>
    </row>
    <row r="453" spans="2:18" s="4" customFormat="1" ht="55.5" customHeight="1" x14ac:dyDescent="0.25">
      <c r="B453" s="24">
        <v>44448</v>
      </c>
      <c r="C453" s="24" t="s">
        <v>2351</v>
      </c>
      <c r="D453" s="54" t="s">
        <v>3812</v>
      </c>
      <c r="E453" s="26" t="s">
        <v>4153</v>
      </c>
      <c r="F453" s="54" t="s">
        <v>3865</v>
      </c>
      <c r="G453" s="54" t="s">
        <v>3866</v>
      </c>
      <c r="H453" s="54" t="s">
        <v>3746</v>
      </c>
      <c r="I453" s="54" t="s">
        <v>19</v>
      </c>
      <c r="J453" s="54">
        <v>4383</v>
      </c>
      <c r="K453" s="54">
        <v>56.753500000000003</v>
      </c>
      <c r="L453" s="61">
        <f t="shared" si="51"/>
        <v>77.228717171628176</v>
      </c>
      <c r="M453" s="54">
        <v>36</v>
      </c>
      <c r="N453" s="58">
        <f t="shared" si="57"/>
        <v>121.75</v>
      </c>
      <c r="O453" s="38">
        <f t="shared" ca="1" si="59"/>
        <v>28</v>
      </c>
      <c r="P453" s="36">
        <f t="shared" ca="1" si="56"/>
        <v>974</v>
      </c>
      <c r="Q453" s="36">
        <f t="shared" ca="1" si="58"/>
        <v>974</v>
      </c>
      <c r="R453" s="637" t="s">
        <v>2713</v>
      </c>
    </row>
    <row r="454" spans="2:18" s="4" customFormat="1" ht="54.75" customHeight="1" x14ac:dyDescent="0.25">
      <c r="B454" s="24">
        <v>44452</v>
      </c>
      <c r="C454" s="24" t="s">
        <v>2351</v>
      </c>
      <c r="D454" s="54" t="s">
        <v>3869</v>
      </c>
      <c r="E454" s="26" t="s">
        <v>3870</v>
      </c>
      <c r="F454" s="54" t="s">
        <v>3871</v>
      </c>
      <c r="G454" s="54" t="s">
        <v>28</v>
      </c>
      <c r="H454" s="54" t="s">
        <v>3872</v>
      </c>
      <c r="I454" s="54" t="s">
        <v>19</v>
      </c>
      <c r="J454" s="54">
        <v>30196.2</v>
      </c>
      <c r="K454" s="54">
        <v>56.905900000000003</v>
      </c>
      <c r="L454" s="61">
        <f t="shared" si="51"/>
        <v>530.63390615032881</v>
      </c>
      <c r="M454" s="54">
        <v>48</v>
      </c>
      <c r="N454" s="58">
        <f t="shared" ref="N454:N517" si="60">J454/M454</f>
        <v>629.08749999999998</v>
      </c>
      <c r="O454" s="38">
        <f t="shared" ca="1" si="59"/>
        <v>28</v>
      </c>
      <c r="P454" s="36">
        <f t="shared" ca="1" si="56"/>
        <v>12581.75</v>
      </c>
      <c r="Q454" s="36">
        <f t="shared" ca="1" si="58"/>
        <v>12581.75</v>
      </c>
      <c r="R454" s="637" t="s">
        <v>30</v>
      </c>
    </row>
    <row r="455" spans="2:18" s="4" customFormat="1" ht="59.25" customHeight="1" x14ac:dyDescent="0.25">
      <c r="B455" s="24">
        <v>44455</v>
      </c>
      <c r="C455" s="24" t="s">
        <v>2351</v>
      </c>
      <c r="D455" s="54" t="s">
        <v>3873</v>
      </c>
      <c r="E455" s="26" t="s">
        <v>3874</v>
      </c>
      <c r="F455" s="54" t="s">
        <v>3875</v>
      </c>
      <c r="G455" s="54" t="s">
        <v>28</v>
      </c>
      <c r="H455" s="54" t="s">
        <v>3872</v>
      </c>
      <c r="I455" s="54" t="s">
        <v>19</v>
      </c>
      <c r="J455" s="54">
        <v>18290</v>
      </c>
      <c r="K455" s="54">
        <v>56.575899999999997</v>
      </c>
      <c r="L455" s="61">
        <f t="shared" si="51"/>
        <v>323.28252842641479</v>
      </c>
      <c r="M455" s="54">
        <v>60</v>
      </c>
      <c r="N455" s="58">
        <f t="shared" si="60"/>
        <v>304.83333333333331</v>
      </c>
      <c r="O455" s="38">
        <f t="shared" ca="1" si="59"/>
        <v>28</v>
      </c>
      <c r="P455" s="36">
        <f t="shared" ca="1" si="56"/>
        <v>9754.6666666666679</v>
      </c>
      <c r="Q455" s="36">
        <f t="shared" ca="1" si="58"/>
        <v>9754.6666666666679</v>
      </c>
      <c r="R455" s="637" t="s">
        <v>3876</v>
      </c>
    </row>
    <row r="456" spans="2:18" s="4" customFormat="1" ht="65.25" customHeight="1" x14ac:dyDescent="0.25">
      <c r="B456" s="24">
        <v>44456</v>
      </c>
      <c r="C456" s="24" t="s">
        <v>2351</v>
      </c>
      <c r="D456" s="54" t="s">
        <v>3877</v>
      </c>
      <c r="E456" s="26" t="s">
        <v>3878</v>
      </c>
      <c r="F456" s="54" t="s">
        <v>3879</v>
      </c>
      <c r="G456" s="54" t="s">
        <v>28</v>
      </c>
      <c r="H456" s="54" t="s">
        <v>3880</v>
      </c>
      <c r="I456" s="54" t="s">
        <v>19</v>
      </c>
      <c r="J456" s="54">
        <v>8260</v>
      </c>
      <c r="K456" s="54">
        <v>56.575899999999997</v>
      </c>
      <c r="L456" s="61">
        <f t="shared" si="51"/>
        <v>145.99856122483249</v>
      </c>
      <c r="M456" s="54">
        <v>60</v>
      </c>
      <c r="N456" s="58">
        <f t="shared" si="60"/>
        <v>137.66666666666666</v>
      </c>
      <c r="O456" s="38">
        <f t="shared" ca="1" si="59"/>
        <v>28</v>
      </c>
      <c r="P456" s="36">
        <f t="shared" ca="1" si="56"/>
        <v>4405.3333333333339</v>
      </c>
      <c r="Q456" s="36">
        <f t="shared" ca="1" si="58"/>
        <v>4405.3333333333339</v>
      </c>
      <c r="R456" s="637" t="s">
        <v>3881</v>
      </c>
    </row>
    <row r="457" spans="2:18" s="4" customFormat="1" ht="72" customHeight="1" x14ac:dyDescent="0.25">
      <c r="B457" s="24">
        <v>44456</v>
      </c>
      <c r="C457" s="24" t="s">
        <v>2351</v>
      </c>
      <c r="D457" s="54" t="s">
        <v>3882</v>
      </c>
      <c r="E457" s="26" t="s">
        <v>3883</v>
      </c>
      <c r="F457" s="54" t="s">
        <v>3879</v>
      </c>
      <c r="G457" s="54" t="s">
        <v>28</v>
      </c>
      <c r="H457" s="54" t="s">
        <v>3880</v>
      </c>
      <c r="I457" s="54" t="s">
        <v>19</v>
      </c>
      <c r="J457" s="54">
        <v>8260</v>
      </c>
      <c r="K457" s="54">
        <v>56.575899999999997</v>
      </c>
      <c r="L457" s="61">
        <f t="shared" si="51"/>
        <v>145.99856122483249</v>
      </c>
      <c r="M457" s="54">
        <v>60</v>
      </c>
      <c r="N457" s="58">
        <f t="shared" si="60"/>
        <v>137.66666666666666</v>
      </c>
      <c r="O457" s="38">
        <f t="shared" ca="1" si="59"/>
        <v>28</v>
      </c>
      <c r="P457" s="36">
        <f t="shared" ref="P457:P520" ca="1" si="61">IF(OR(J457=0,M457=0,O457=0),0,J457-(N457*O457))</f>
        <v>4405.3333333333339</v>
      </c>
      <c r="Q457" s="36">
        <f t="shared" ca="1" si="58"/>
        <v>4405.3333333333339</v>
      </c>
      <c r="R457" s="637" t="s">
        <v>3881</v>
      </c>
    </row>
    <row r="458" spans="2:18" s="4" customFormat="1" ht="127.5" x14ac:dyDescent="0.25">
      <c r="B458" s="24">
        <v>44476</v>
      </c>
      <c r="C458" s="24" t="s">
        <v>2351</v>
      </c>
      <c r="D458" s="54" t="s">
        <v>3884</v>
      </c>
      <c r="E458" s="26" t="s">
        <v>3885</v>
      </c>
      <c r="F458" s="54" t="s">
        <v>3886</v>
      </c>
      <c r="G458" s="54" t="s">
        <v>28</v>
      </c>
      <c r="H458" s="54" t="s">
        <v>3887</v>
      </c>
      <c r="I458" s="54" t="s">
        <v>3780</v>
      </c>
      <c r="J458" s="54">
        <v>35004.699999999997</v>
      </c>
      <c r="K458" s="54">
        <v>56.214700000000001</v>
      </c>
      <c r="L458" s="61">
        <f t="shared" si="51"/>
        <v>622.69655445995431</v>
      </c>
      <c r="M458" s="54">
        <v>48</v>
      </c>
      <c r="N458" s="58">
        <f t="shared" si="60"/>
        <v>729.26458333333323</v>
      </c>
      <c r="O458" s="38">
        <f t="shared" ca="1" si="59"/>
        <v>28</v>
      </c>
      <c r="P458" s="36">
        <f t="shared" ca="1" si="61"/>
        <v>14585.291666666668</v>
      </c>
      <c r="Q458" s="36">
        <f t="shared" ca="1" si="58"/>
        <v>14585.291666666668</v>
      </c>
      <c r="R458" s="637" t="s">
        <v>30</v>
      </c>
    </row>
    <row r="459" spans="2:18" s="4" customFormat="1" ht="139.5" customHeight="1" x14ac:dyDescent="0.25">
      <c r="B459" s="24">
        <v>44476</v>
      </c>
      <c r="C459" s="24" t="s">
        <v>2351</v>
      </c>
      <c r="D459" s="54" t="s">
        <v>3884</v>
      </c>
      <c r="E459" s="26" t="s">
        <v>3888</v>
      </c>
      <c r="F459" s="54" t="s">
        <v>3889</v>
      </c>
      <c r="G459" s="54" t="s">
        <v>28</v>
      </c>
      <c r="H459" s="54" t="s">
        <v>3779</v>
      </c>
      <c r="I459" s="54" t="s">
        <v>3780</v>
      </c>
      <c r="J459" s="54">
        <v>16738.3</v>
      </c>
      <c r="K459" s="54">
        <v>56.214700000000001</v>
      </c>
      <c r="L459" s="61">
        <f t="shared" si="51"/>
        <v>297.75663660928547</v>
      </c>
      <c r="M459" s="54">
        <v>48</v>
      </c>
      <c r="N459" s="58">
        <f t="shared" si="60"/>
        <v>348.71458333333334</v>
      </c>
      <c r="O459" s="38">
        <f t="shared" ca="1" si="59"/>
        <v>28</v>
      </c>
      <c r="P459" s="36">
        <f t="shared" ca="1" si="61"/>
        <v>6974.2916666666661</v>
      </c>
      <c r="Q459" s="36">
        <f t="shared" ca="1" si="58"/>
        <v>6974.2916666666661</v>
      </c>
      <c r="R459" s="637" t="s">
        <v>30</v>
      </c>
    </row>
    <row r="460" spans="2:18" s="4" customFormat="1" ht="107.25" customHeight="1" x14ac:dyDescent="0.25">
      <c r="B460" s="24">
        <v>44551</v>
      </c>
      <c r="C460" s="24" t="s">
        <v>2351</v>
      </c>
      <c r="D460" s="54" t="s">
        <v>3890</v>
      </c>
      <c r="E460" s="26" t="s">
        <v>3891</v>
      </c>
      <c r="F460" s="54" t="s">
        <v>3892</v>
      </c>
      <c r="G460" s="54" t="s">
        <v>28</v>
      </c>
      <c r="H460" s="26" t="s">
        <v>60</v>
      </c>
      <c r="I460" s="54" t="s">
        <v>19</v>
      </c>
      <c r="J460" s="54">
        <v>130358.33</v>
      </c>
      <c r="K460" s="54">
        <v>56.741900000000001</v>
      </c>
      <c r="L460" s="61">
        <f t="shared" si="51"/>
        <v>2297.3909932519005</v>
      </c>
      <c r="M460" s="54">
        <v>48</v>
      </c>
      <c r="N460" s="58">
        <f t="shared" si="60"/>
        <v>2715.7985416666666</v>
      </c>
      <c r="O460" s="38">
        <f t="shared" ca="1" si="59"/>
        <v>25</v>
      </c>
      <c r="P460" s="36">
        <f t="shared" ca="1" si="61"/>
        <v>62463.366458333345</v>
      </c>
      <c r="Q460" s="36">
        <f t="shared" ca="1" si="58"/>
        <v>62463.366458333345</v>
      </c>
      <c r="R460" s="637" t="s">
        <v>3893</v>
      </c>
    </row>
    <row r="461" spans="2:18" s="4" customFormat="1" ht="107.25" customHeight="1" x14ac:dyDescent="0.25">
      <c r="B461" s="24">
        <v>44551</v>
      </c>
      <c r="C461" s="24" t="s">
        <v>2351</v>
      </c>
      <c r="D461" s="54" t="s">
        <v>3890</v>
      </c>
      <c r="E461" s="26" t="s">
        <v>3894</v>
      </c>
      <c r="F461" s="54" t="s">
        <v>3895</v>
      </c>
      <c r="G461" s="54" t="s">
        <v>28</v>
      </c>
      <c r="H461" s="26" t="s">
        <v>60</v>
      </c>
      <c r="I461" s="54" t="s">
        <v>19</v>
      </c>
      <c r="J461" s="54">
        <v>130358.3</v>
      </c>
      <c r="K461" s="54">
        <v>56.741900000000001</v>
      </c>
      <c r="L461" s="61">
        <f t="shared" si="51"/>
        <v>2297.3904645420757</v>
      </c>
      <c r="M461" s="54">
        <v>48</v>
      </c>
      <c r="N461" s="58">
        <f t="shared" si="60"/>
        <v>2715.7979166666669</v>
      </c>
      <c r="O461" s="38">
        <f t="shared" ca="1" si="59"/>
        <v>25</v>
      </c>
      <c r="P461" s="36">
        <f t="shared" ca="1" si="61"/>
        <v>62463.352083333331</v>
      </c>
      <c r="Q461" s="36">
        <f t="shared" ca="1" si="58"/>
        <v>62463.352083333331</v>
      </c>
      <c r="R461" s="637" t="s">
        <v>3893</v>
      </c>
    </row>
    <row r="462" spans="2:18" s="4" customFormat="1" ht="107.25" customHeight="1" x14ac:dyDescent="0.25">
      <c r="B462" s="24">
        <v>44551</v>
      </c>
      <c r="C462" s="24" t="s">
        <v>2351</v>
      </c>
      <c r="D462" s="54" t="s">
        <v>3890</v>
      </c>
      <c r="E462" s="26" t="s">
        <v>3896</v>
      </c>
      <c r="F462" s="54" t="s">
        <v>3897</v>
      </c>
      <c r="G462" s="54" t="s">
        <v>28</v>
      </c>
      <c r="H462" s="26" t="s">
        <v>60</v>
      </c>
      <c r="I462" s="54" t="s">
        <v>19</v>
      </c>
      <c r="J462" s="54">
        <v>130358.3</v>
      </c>
      <c r="K462" s="54">
        <v>56.741900000000001</v>
      </c>
      <c r="L462" s="61">
        <f t="shared" si="51"/>
        <v>2297.3904645420757</v>
      </c>
      <c r="M462" s="54">
        <v>48</v>
      </c>
      <c r="N462" s="58">
        <f t="shared" si="60"/>
        <v>2715.7979166666669</v>
      </c>
      <c r="O462" s="38">
        <f t="shared" ca="1" si="59"/>
        <v>25</v>
      </c>
      <c r="P462" s="36">
        <f t="shared" ca="1" si="61"/>
        <v>62463.352083333331</v>
      </c>
      <c r="Q462" s="36">
        <f t="shared" ca="1" si="58"/>
        <v>62463.352083333331</v>
      </c>
      <c r="R462" s="637" t="s">
        <v>3893</v>
      </c>
    </row>
    <row r="463" spans="2:18" s="4" customFormat="1" ht="107.25" customHeight="1" x14ac:dyDescent="0.25">
      <c r="B463" s="24">
        <v>44551</v>
      </c>
      <c r="C463" s="24" t="s">
        <v>2351</v>
      </c>
      <c r="D463" s="54" t="s">
        <v>3890</v>
      </c>
      <c r="E463" s="26" t="s">
        <v>3898</v>
      </c>
      <c r="F463" s="54" t="s">
        <v>3899</v>
      </c>
      <c r="G463" s="54" t="s">
        <v>28</v>
      </c>
      <c r="H463" s="26" t="s">
        <v>60</v>
      </c>
      <c r="I463" s="54" t="s">
        <v>19</v>
      </c>
      <c r="J463" s="54">
        <v>130358.3</v>
      </c>
      <c r="K463" s="54">
        <v>56.741900000000001</v>
      </c>
      <c r="L463" s="61">
        <f t="shared" si="51"/>
        <v>2297.3904645420757</v>
      </c>
      <c r="M463" s="54">
        <v>48</v>
      </c>
      <c r="N463" s="58">
        <f t="shared" si="60"/>
        <v>2715.7979166666669</v>
      </c>
      <c r="O463" s="38">
        <f t="shared" ca="1" si="59"/>
        <v>25</v>
      </c>
      <c r="P463" s="36">
        <f t="shared" ca="1" si="61"/>
        <v>62463.352083333331</v>
      </c>
      <c r="Q463" s="36">
        <f t="shared" ca="1" si="58"/>
        <v>62463.352083333331</v>
      </c>
      <c r="R463" s="637" t="s">
        <v>3893</v>
      </c>
    </row>
    <row r="464" spans="2:18" s="4" customFormat="1" ht="107.25" customHeight="1" x14ac:dyDescent="0.25">
      <c r="B464" s="24">
        <v>44551</v>
      </c>
      <c r="C464" s="24" t="s">
        <v>2351</v>
      </c>
      <c r="D464" s="54" t="s">
        <v>3890</v>
      </c>
      <c r="E464" s="26" t="s">
        <v>3900</v>
      </c>
      <c r="F464" s="54" t="s">
        <v>3901</v>
      </c>
      <c r="G464" s="54" t="s">
        <v>28</v>
      </c>
      <c r="H464" s="26" t="s">
        <v>60</v>
      </c>
      <c r="I464" s="54" t="s">
        <v>19</v>
      </c>
      <c r="J464" s="54">
        <v>130358.3</v>
      </c>
      <c r="K464" s="54">
        <v>56.741900000000001</v>
      </c>
      <c r="L464" s="61">
        <f t="shared" si="51"/>
        <v>2297.3904645420757</v>
      </c>
      <c r="M464" s="54">
        <v>48</v>
      </c>
      <c r="N464" s="58">
        <f t="shared" si="60"/>
        <v>2715.7979166666669</v>
      </c>
      <c r="O464" s="38">
        <f t="shared" ca="1" si="59"/>
        <v>25</v>
      </c>
      <c r="P464" s="36">
        <f t="shared" ca="1" si="61"/>
        <v>62463.352083333331</v>
      </c>
      <c r="Q464" s="36">
        <f t="shared" ca="1" si="58"/>
        <v>62463.352083333331</v>
      </c>
      <c r="R464" s="637" t="s">
        <v>3893</v>
      </c>
    </row>
    <row r="465" spans="2:18" s="4" customFormat="1" ht="107.25" customHeight="1" x14ac:dyDescent="0.25">
      <c r="B465" s="24">
        <v>44551</v>
      </c>
      <c r="C465" s="24" t="s">
        <v>2351</v>
      </c>
      <c r="D465" s="54" t="s">
        <v>3890</v>
      </c>
      <c r="E465" s="26" t="s">
        <v>3902</v>
      </c>
      <c r="F465" s="54" t="s">
        <v>3903</v>
      </c>
      <c r="G465" s="54" t="s">
        <v>28</v>
      </c>
      <c r="H465" s="26" t="s">
        <v>60</v>
      </c>
      <c r="I465" s="54" t="s">
        <v>19</v>
      </c>
      <c r="J465" s="54">
        <v>130358.3</v>
      </c>
      <c r="K465" s="54">
        <v>56.741900000000001</v>
      </c>
      <c r="L465" s="61">
        <f t="shared" si="51"/>
        <v>2297.3904645420757</v>
      </c>
      <c r="M465" s="54">
        <v>48</v>
      </c>
      <c r="N465" s="58">
        <f t="shared" si="60"/>
        <v>2715.7979166666669</v>
      </c>
      <c r="O465" s="38">
        <f t="shared" ca="1" si="59"/>
        <v>25</v>
      </c>
      <c r="P465" s="36">
        <f t="shared" ca="1" si="61"/>
        <v>62463.352083333331</v>
      </c>
      <c r="Q465" s="36">
        <f t="shared" ca="1" si="58"/>
        <v>62463.352083333331</v>
      </c>
      <c r="R465" s="637" t="s">
        <v>3893</v>
      </c>
    </row>
    <row r="466" spans="2:18" s="4" customFormat="1" ht="107.25" customHeight="1" x14ac:dyDescent="0.25">
      <c r="B466" s="24">
        <v>44551</v>
      </c>
      <c r="C466" s="24" t="s">
        <v>2351</v>
      </c>
      <c r="D466" s="54" t="s">
        <v>3890</v>
      </c>
      <c r="E466" s="26" t="s">
        <v>3904</v>
      </c>
      <c r="F466" s="54" t="s">
        <v>3905</v>
      </c>
      <c r="G466" s="54" t="s">
        <v>28</v>
      </c>
      <c r="H466" s="26" t="s">
        <v>60</v>
      </c>
      <c r="I466" s="54" t="s">
        <v>19</v>
      </c>
      <c r="J466" s="54">
        <v>126753.24</v>
      </c>
      <c r="K466" s="54">
        <v>56.741900000000001</v>
      </c>
      <c r="L466" s="61">
        <f t="shared" si="51"/>
        <v>2233.8561098588521</v>
      </c>
      <c r="M466" s="54">
        <v>48</v>
      </c>
      <c r="N466" s="58">
        <f t="shared" si="60"/>
        <v>2640.6925000000001</v>
      </c>
      <c r="O466" s="38">
        <f t="shared" ca="1" si="59"/>
        <v>25</v>
      </c>
      <c r="P466" s="36">
        <f t="shared" ca="1" si="61"/>
        <v>60735.927500000005</v>
      </c>
      <c r="Q466" s="36">
        <f t="shared" ca="1" si="58"/>
        <v>60735.927500000005</v>
      </c>
      <c r="R466" s="637" t="s">
        <v>3893</v>
      </c>
    </row>
    <row r="467" spans="2:18" s="4" customFormat="1" ht="107.25" customHeight="1" x14ac:dyDescent="0.25">
      <c r="B467" s="24">
        <v>44551</v>
      </c>
      <c r="C467" s="24" t="s">
        <v>2351</v>
      </c>
      <c r="D467" s="54" t="s">
        <v>3890</v>
      </c>
      <c r="E467" s="26" t="s">
        <v>3906</v>
      </c>
      <c r="F467" s="54" t="s">
        <v>3905</v>
      </c>
      <c r="G467" s="54" t="s">
        <v>28</v>
      </c>
      <c r="H467" s="26" t="s">
        <v>60</v>
      </c>
      <c r="I467" s="54" t="s">
        <v>19</v>
      </c>
      <c r="J467" s="54">
        <v>126753.24</v>
      </c>
      <c r="K467" s="54">
        <v>56.741900000000001</v>
      </c>
      <c r="L467" s="61">
        <f t="shared" si="51"/>
        <v>2233.8561098588521</v>
      </c>
      <c r="M467" s="54">
        <v>48</v>
      </c>
      <c r="N467" s="58">
        <f t="shared" si="60"/>
        <v>2640.6925000000001</v>
      </c>
      <c r="O467" s="38">
        <f t="shared" ca="1" si="59"/>
        <v>25</v>
      </c>
      <c r="P467" s="36">
        <f t="shared" ca="1" si="61"/>
        <v>60735.927500000005</v>
      </c>
      <c r="Q467" s="36">
        <f t="shared" ca="1" si="58"/>
        <v>60735.927500000005</v>
      </c>
      <c r="R467" s="637" t="s">
        <v>3893</v>
      </c>
    </row>
    <row r="468" spans="2:18" s="4" customFormat="1" ht="107.25" customHeight="1" x14ac:dyDescent="0.25">
      <c r="B468" s="24">
        <v>44551</v>
      </c>
      <c r="C468" s="24" t="s">
        <v>2351</v>
      </c>
      <c r="D468" s="54" t="s">
        <v>3890</v>
      </c>
      <c r="E468" s="26" t="s">
        <v>3907</v>
      </c>
      <c r="F468" s="54" t="s">
        <v>3908</v>
      </c>
      <c r="G468" s="54" t="s">
        <v>28</v>
      </c>
      <c r="H468" s="26" t="s">
        <v>60</v>
      </c>
      <c r="I468" s="54" t="s">
        <v>19</v>
      </c>
      <c r="J468" s="54">
        <v>7101.49</v>
      </c>
      <c r="K468" s="54">
        <v>56.741900000000001</v>
      </c>
      <c r="L468" s="61">
        <f t="shared" si="51"/>
        <v>125.15425109134519</v>
      </c>
      <c r="M468" s="54">
        <v>48</v>
      </c>
      <c r="N468" s="58">
        <f t="shared" si="60"/>
        <v>147.94770833333334</v>
      </c>
      <c r="O468" s="38">
        <f t="shared" ca="1" si="59"/>
        <v>25</v>
      </c>
      <c r="P468" s="36">
        <f t="shared" ca="1" si="61"/>
        <v>3402.7972916666663</v>
      </c>
      <c r="Q468" s="36">
        <f t="shared" ca="1" si="58"/>
        <v>3402.7972916666663</v>
      </c>
      <c r="R468" s="637" t="s">
        <v>3893</v>
      </c>
    </row>
    <row r="469" spans="2:18" s="4" customFormat="1" ht="107.25" customHeight="1" x14ac:dyDescent="0.25">
      <c r="B469" s="24">
        <v>44551</v>
      </c>
      <c r="C469" s="24" t="s">
        <v>2351</v>
      </c>
      <c r="D469" s="54" t="s">
        <v>3890</v>
      </c>
      <c r="E469" s="26" t="s">
        <v>3909</v>
      </c>
      <c r="F469" s="64" t="s">
        <v>3910</v>
      </c>
      <c r="G469" s="54" t="s">
        <v>28</v>
      </c>
      <c r="H469" s="26" t="s">
        <v>60</v>
      </c>
      <c r="I469" s="54" t="s">
        <v>19</v>
      </c>
      <c r="J469" s="54">
        <v>40195.53</v>
      </c>
      <c r="K469" s="54">
        <v>56.741900000000001</v>
      </c>
      <c r="L469" s="61">
        <f>J466/K469</f>
        <v>2233.8561098588521</v>
      </c>
      <c r="M469" s="54">
        <v>48</v>
      </c>
      <c r="N469" s="58">
        <f>J466/M469</f>
        <v>2640.6925000000001</v>
      </c>
      <c r="O469" s="38">
        <f t="shared" ca="1" si="59"/>
        <v>25</v>
      </c>
      <c r="P469" s="36">
        <f t="shared" ca="1" si="61"/>
        <v>-25821.782500000001</v>
      </c>
      <c r="Q469" s="36">
        <f t="shared" ca="1" si="58"/>
        <v>1</v>
      </c>
      <c r="R469" s="637" t="s">
        <v>3893</v>
      </c>
    </row>
    <row r="470" spans="2:18" s="4" customFormat="1" ht="107.25" customHeight="1" x14ac:dyDescent="0.25">
      <c r="B470" s="24">
        <v>44551</v>
      </c>
      <c r="C470" s="24" t="s">
        <v>2351</v>
      </c>
      <c r="D470" s="54" t="s">
        <v>3890</v>
      </c>
      <c r="E470" s="26" t="s">
        <v>3911</v>
      </c>
      <c r="F470" s="64" t="s">
        <v>3912</v>
      </c>
      <c r="G470" s="54" t="s">
        <v>28</v>
      </c>
      <c r="H470" s="26" t="s">
        <v>60</v>
      </c>
      <c r="I470" s="54" t="s">
        <v>19</v>
      </c>
      <c r="J470" s="54">
        <v>193.27</v>
      </c>
      <c r="K470" s="54">
        <v>56.741900000000001</v>
      </c>
      <c r="L470" s="61">
        <f>J467/K470</f>
        <v>2233.8561098588521</v>
      </c>
      <c r="M470" s="54">
        <v>48</v>
      </c>
      <c r="N470" s="58">
        <f>J467/M470</f>
        <v>2640.6925000000001</v>
      </c>
      <c r="O470" s="38">
        <f t="shared" ca="1" si="59"/>
        <v>25</v>
      </c>
      <c r="P470" s="36">
        <f t="shared" ca="1" si="61"/>
        <v>-65824.042499999996</v>
      </c>
      <c r="Q470" s="36">
        <f t="shared" ca="1" si="58"/>
        <v>1</v>
      </c>
      <c r="R470" s="637" t="s">
        <v>3893</v>
      </c>
    </row>
    <row r="471" spans="2:18" s="4" customFormat="1" ht="107.25" customHeight="1" x14ac:dyDescent="0.25">
      <c r="B471" s="24">
        <v>44551</v>
      </c>
      <c r="C471" s="24" t="s">
        <v>2351</v>
      </c>
      <c r="D471" s="54" t="s">
        <v>3890</v>
      </c>
      <c r="E471" s="26" t="s">
        <v>3913</v>
      </c>
      <c r="F471" s="64" t="s">
        <v>3912</v>
      </c>
      <c r="G471" s="54" t="s">
        <v>28</v>
      </c>
      <c r="H471" s="26" t="s">
        <v>60</v>
      </c>
      <c r="I471" s="54" t="s">
        <v>19</v>
      </c>
      <c r="J471" s="54">
        <v>193.26</v>
      </c>
      <c r="K471" s="54">
        <v>56.741900000000001</v>
      </c>
      <c r="L471" s="61">
        <f>J469/K471</f>
        <v>708.39238728347129</v>
      </c>
      <c r="M471" s="54">
        <v>48</v>
      </c>
      <c r="N471" s="58">
        <f>J469/M471</f>
        <v>837.40687500000001</v>
      </c>
      <c r="O471" s="38">
        <f t="shared" ca="1" si="59"/>
        <v>25</v>
      </c>
      <c r="P471" s="36">
        <f t="shared" ca="1" si="61"/>
        <v>-20741.911875000002</v>
      </c>
      <c r="Q471" s="36">
        <f t="shared" ca="1" si="58"/>
        <v>1</v>
      </c>
      <c r="R471" s="637" t="s">
        <v>3893</v>
      </c>
    </row>
    <row r="472" spans="2:18" s="4" customFormat="1" ht="107.25" customHeight="1" x14ac:dyDescent="0.25">
      <c r="B472" s="24">
        <v>44551</v>
      </c>
      <c r="C472" s="24" t="s">
        <v>2351</v>
      </c>
      <c r="D472" s="54" t="s">
        <v>3890</v>
      </c>
      <c r="E472" s="26" t="s">
        <v>3914</v>
      </c>
      <c r="F472" s="64" t="s">
        <v>3912</v>
      </c>
      <c r="G472" s="54" t="s">
        <v>28</v>
      </c>
      <c r="H472" s="26" t="s">
        <v>60</v>
      </c>
      <c r="I472" s="54" t="s">
        <v>19</v>
      </c>
      <c r="J472" s="54">
        <v>193.26</v>
      </c>
      <c r="K472" s="54">
        <v>56.741900000000001</v>
      </c>
      <c r="L472" s="61">
        <f t="shared" si="51"/>
        <v>3.4059486904738825</v>
      </c>
      <c r="M472" s="54">
        <v>48</v>
      </c>
      <c r="N472" s="58">
        <f t="shared" si="60"/>
        <v>4.0262500000000001</v>
      </c>
      <c r="O472" s="38">
        <f t="shared" ca="1" si="59"/>
        <v>25</v>
      </c>
      <c r="P472" s="36">
        <f t="shared" ca="1" si="61"/>
        <v>92.603749999999991</v>
      </c>
      <c r="Q472" s="36">
        <f t="shared" ca="1" si="58"/>
        <v>92.603749999999991</v>
      </c>
      <c r="R472" s="637" t="s">
        <v>3893</v>
      </c>
    </row>
    <row r="473" spans="2:18" s="4" customFormat="1" ht="107.25" customHeight="1" x14ac:dyDescent="0.25">
      <c r="B473" s="24">
        <v>44551</v>
      </c>
      <c r="C473" s="24" t="s">
        <v>2351</v>
      </c>
      <c r="D473" s="54" t="s">
        <v>3890</v>
      </c>
      <c r="E473" s="26" t="s">
        <v>3915</v>
      </c>
      <c r="F473" s="64" t="s">
        <v>3912</v>
      </c>
      <c r="G473" s="54" t="s">
        <v>28</v>
      </c>
      <c r="H473" s="26" t="s">
        <v>60</v>
      </c>
      <c r="I473" s="54" t="s">
        <v>19</v>
      </c>
      <c r="J473" s="54">
        <v>193.26</v>
      </c>
      <c r="K473" s="54">
        <v>56.741900000000001</v>
      </c>
      <c r="L473" s="61">
        <f t="shared" si="51"/>
        <v>3.4059486904738825</v>
      </c>
      <c r="M473" s="54">
        <v>48</v>
      </c>
      <c r="N473" s="58">
        <f t="shared" si="60"/>
        <v>4.0262500000000001</v>
      </c>
      <c r="O473" s="38">
        <f t="shared" ca="1" si="59"/>
        <v>25</v>
      </c>
      <c r="P473" s="36">
        <f t="shared" ca="1" si="61"/>
        <v>92.603749999999991</v>
      </c>
      <c r="Q473" s="36">
        <f t="shared" ca="1" si="58"/>
        <v>92.603749999999991</v>
      </c>
      <c r="R473" s="637" t="s">
        <v>3893</v>
      </c>
    </row>
    <row r="474" spans="2:18" s="4" customFormat="1" ht="107.25" customHeight="1" x14ac:dyDescent="0.25">
      <c r="B474" s="24">
        <v>44551</v>
      </c>
      <c r="C474" s="24" t="s">
        <v>2351</v>
      </c>
      <c r="D474" s="54" t="s">
        <v>3890</v>
      </c>
      <c r="E474" s="26" t="s">
        <v>3916</v>
      </c>
      <c r="F474" s="64" t="s">
        <v>3912</v>
      </c>
      <c r="G474" s="54" t="s">
        <v>28</v>
      </c>
      <c r="H474" s="26" t="s">
        <v>60</v>
      </c>
      <c r="I474" s="54" t="s">
        <v>19</v>
      </c>
      <c r="J474" s="54">
        <v>193.26</v>
      </c>
      <c r="K474" s="54">
        <v>56.741900000000001</v>
      </c>
      <c r="L474" s="61">
        <f t="shared" si="51"/>
        <v>3.4059486904738825</v>
      </c>
      <c r="M474" s="54">
        <v>48</v>
      </c>
      <c r="N474" s="58">
        <f t="shared" si="60"/>
        <v>4.0262500000000001</v>
      </c>
      <c r="O474" s="38">
        <f t="shared" ca="1" si="59"/>
        <v>25</v>
      </c>
      <c r="P474" s="36">
        <f t="shared" ca="1" si="61"/>
        <v>92.603749999999991</v>
      </c>
      <c r="Q474" s="36">
        <f t="shared" ca="1" si="58"/>
        <v>92.603749999999991</v>
      </c>
      <c r="R474" s="637" t="s">
        <v>3893</v>
      </c>
    </row>
    <row r="475" spans="2:18" s="4" customFormat="1" ht="107.25" customHeight="1" x14ac:dyDescent="0.25">
      <c r="B475" s="24">
        <v>44551</v>
      </c>
      <c r="C475" s="24" t="s">
        <v>2351</v>
      </c>
      <c r="D475" s="54" t="s">
        <v>3890</v>
      </c>
      <c r="E475" s="26" t="s">
        <v>3917</v>
      </c>
      <c r="F475" s="64" t="s">
        <v>3912</v>
      </c>
      <c r="G475" s="54" t="s">
        <v>28</v>
      </c>
      <c r="H475" s="26" t="s">
        <v>60</v>
      </c>
      <c r="I475" s="54" t="s">
        <v>19</v>
      </c>
      <c r="J475" s="54">
        <v>193.26</v>
      </c>
      <c r="K475" s="54">
        <v>56.741900000000001</v>
      </c>
      <c r="L475" s="61">
        <f t="shared" si="51"/>
        <v>3.4059486904738825</v>
      </c>
      <c r="M475" s="54">
        <v>48</v>
      </c>
      <c r="N475" s="58">
        <f t="shared" si="60"/>
        <v>4.0262500000000001</v>
      </c>
      <c r="O475" s="38">
        <f t="shared" ca="1" si="59"/>
        <v>25</v>
      </c>
      <c r="P475" s="36">
        <f t="shared" ca="1" si="61"/>
        <v>92.603749999999991</v>
      </c>
      <c r="Q475" s="36">
        <f t="shared" ca="1" si="58"/>
        <v>92.603749999999991</v>
      </c>
      <c r="R475" s="637" t="s">
        <v>3893</v>
      </c>
    </row>
    <row r="476" spans="2:18" s="4" customFormat="1" ht="107.25" customHeight="1" x14ac:dyDescent="0.25">
      <c r="B476" s="24">
        <v>44551</v>
      </c>
      <c r="C476" s="24" t="s">
        <v>2351</v>
      </c>
      <c r="D476" s="54" t="s">
        <v>3890</v>
      </c>
      <c r="E476" s="26" t="s">
        <v>3918</v>
      </c>
      <c r="F476" s="64" t="s">
        <v>3912</v>
      </c>
      <c r="G476" s="54" t="s">
        <v>28</v>
      </c>
      <c r="H476" s="26" t="s">
        <v>60</v>
      </c>
      <c r="I476" s="54" t="s">
        <v>19</v>
      </c>
      <c r="J476" s="54">
        <v>193.26</v>
      </c>
      <c r="K476" s="54">
        <v>56.741900000000001</v>
      </c>
      <c r="L476" s="61">
        <f t="shared" si="51"/>
        <v>3.4059486904738825</v>
      </c>
      <c r="M476" s="54">
        <v>48</v>
      </c>
      <c r="N476" s="58">
        <f t="shared" si="60"/>
        <v>4.0262500000000001</v>
      </c>
      <c r="O476" s="38">
        <f t="shared" ca="1" si="59"/>
        <v>25</v>
      </c>
      <c r="P476" s="36">
        <f t="shared" ca="1" si="61"/>
        <v>92.603749999999991</v>
      </c>
      <c r="Q476" s="36">
        <f t="shared" ca="1" si="58"/>
        <v>92.603749999999991</v>
      </c>
      <c r="R476" s="637" t="s">
        <v>3893</v>
      </c>
    </row>
    <row r="477" spans="2:18" s="4" customFormat="1" ht="107.25" customHeight="1" x14ac:dyDescent="0.25">
      <c r="B477" s="24">
        <v>44551</v>
      </c>
      <c r="C477" s="24" t="s">
        <v>2351</v>
      </c>
      <c r="D477" s="54" t="s">
        <v>3890</v>
      </c>
      <c r="E477" s="26" t="s">
        <v>3919</v>
      </c>
      <c r="F477" s="64" t="s">
        <v>3912</v>
      </c>
      <c r="G477" s="54" t="s">
        <v>28</v>
      </c>
      <c r="H477" s="26" t="s">
        <v>60</v>
      </c>
      <c r="I477" s="54" t="s">
        <v>19</v>
      </c>
      <c r="J477" s="54">
        <v>193.26</v>
      </c>
      <c r="K477" s="54">
        <v>56.741900000000001</v>
      </c>
      <c r="L477" s="61">
        <f t="shared" si="51"/>
        <v>3.4059486904738825</v>
      </c>
      <c r="M477" s="54">
        <v>48</v>
      </c>
      <c r="N477" s="58">
        <f t="shared" si="60"/>
        <v>4.0262500000000001</v>
      </c>
      <c r="O477" s="38">
        <f t="shared" ca="1" si="59"/>
        <v>25</v>
      </c>
      <c r="P477" s="36">
        <f t="shared" ca="1" si="61"/>
        <v>92.603749999999991</v>
      </c>
      <c r="Q477" s="36">
        <f t="shared" ca="1" si="58"/>
        <v>92.603749999999991</v>
      </c>
      <c r="R477" s="637" t="s">
        <v>3893</v>
      </c>
    </row>
    <row r="478" spans="2:18" s="4" customFormat="1" ht="107.25" customHeight="1" x14ac:dyDescent="0.25">
      <c r="B478" s="24">
        <v>44551</v>
      </c>
      <c r="C478" s="24" t="s">
        <v>2351</v>
      </c>
      <c r="D478" s="54" t="s">
        <v>3890</v>
      </c>
      <c r="E478" s="26" t="s">
        <v>3920</v>
      </c>
      <c r="F478" s="64" t="s">
        <v>3912</v>
      </c>
      <c r="G478" s="54" t="s">
        <v>28</v>
      </c>
      <c r="H478" s="26" t="s">
        <v>60</v>
      </c>
      <c r="I478" s="54" t="s">
        <v>19</v>
      </c>
      <c r="J478" s="54">
        <v>193.26</v>
      </c>
      <c r="K478" s="54">
        <v>56.741900000000001</v>
      </c>
      <c r="L478" s="61">
        <f t="shared" si="51"/>
        <v>3.4059486904738825</v>
      </c>
      <c r="M478" s="54">
        <v>48</v>
      </c>
      <c r="N478" s="58">
        <f t="shared" si="60"/>
        <v>4.0262500000000001</v>
      </c>
      <c r="O478" s="38">
        <f t="shared" ca="1" si="59"/>
        <v>25</v>
      </c>
      <c r="P478" s="36">
        <f t="shared" ca="1" si="61"/>
        <v>92.603749999999991</v>
      </c>
      <c r="Q478" s="36">
        <f t="shared" ca="1" si="58"/>
        <v>92.603749999999991</v>
      </c>
      <c r="R478" s="637" t="s">
        <v>3893</v>
      </c>
    </row>
    <row r="479" spans="2:18" s="4" customFormat="1" ht="107.25" customHeight="1" x14ac:dyDescent="0.25">
      <c r="B479" s="24">
        <v>44551</v>
      </c>
      <c r="C479" s="24" t="s">
        <v>2351</v>
      </c>
      <c r="D479" s="54" t="s">
        <v>3890</v>
      </c>
      <c r="E479" s="26" t="s">
        <v>3921</v>
      </c>
      <c r="F479" s="64" t="s">
        <v>3912</v>
      </c>
      <c r="G479" s="54" t="s">
        <v>28</v>
      </c>
      <c r="H479" s="26" t="s">
        <v>60</v>
      </c>
      <c r="I479" s="54" t="s">
        <v>19</v>
      </c>
      <c r="J479" s="54">
        <v>193.26</v>
      </c>
      <c r="K479" s="54">
        <v>56.741900000000001</v>
      </c>
      <c r="L479" s="61">
        <f t="shared" si="51"/>
        <v>3.4059486904738825</v>
      </c>
      <c r="M479" s="54">
        <v>48</v>
      </c>
      <c r="N479" s="58">
        <f t="shared" si="60"/>
        <v>4.0262500000000001</v>
      </c>
      <c r="O479" s="38">
        <f t="shared" ca="1" si="59"/>
        <v>25</v>
      </c>
      <c r="P479" s="36">
        <f t="shared" ca="1" si="61"/>
        <v>92.603749999999991</v>
      </c>
      <c r="Q479" s="36">
        <f t="shared" ca="1" si="58"/>
        <v>92.603749999999991</v>
      </c>
      <c r="R479" s="637" t="s">
        <v>3893</v>
      </c>
    </row>
    <row r="480" spans="2:18" s="4" customFormat="1" ht="107.25" customHeight="1" x14ac:dyDescent="0.25">
      <c r="B480" s="24">
        <v>44551</v>
      </c>
      <c r="C480" s="24" t="s">
        <v>2351</v>
      </c>
      <c r="D480" s="54" t="s">
        <v>3890</v>
      </c>
      <c r="E480" s="26" t="s">
        <v>3922</v>
      </c>
      <c r="F480" s="64" t="s">
        <v>3912</v>
      </c>
      <c r="G480" s="54" t="s">
        <v>28</v>
      </c>
      <c r="H480" s="26" t="s">
        <v>60</v>
      </c>
      <c r="I480" s="54" t="s">
        <v>19</v>
      </c>
      <c r="J480" s="54">
        <v>193.26</v>
      </c>
      <c r="K480" s="54">
        <v>56.741900000000001</v>
      </c>
      <c r="L480" s="61">
        <f t="shared" si="51"/>
        <v>3.4059486904738825</v>
      </c>
      <c r="M480" s="54">
        <v>48</v>
      </c>
      <c r="N480" s="58">
        <f t="shared" si="60"/>
        <v>4.0262500000000001</v>
      </c>
      <c r="O480" s="38">
        <f t="shared" ca="1" si="59"/>
        <v>25</v>
      </c>
      <c r="P480" s="36">
        <f t="shared" ca="1" si="61"/>
        <v>92.603749999999991</v>
      </c>
      <c r="Q480" s="36">
        <f t="shared" ca="1" si="58"/>
        <v>92.603749999999991</v>
      </c>
      <c r="R480" s="637" t="s">
        <v>3893</v>
      </c>
    </row>
    <row r="481" spans="2:18" s="4" customFormat="1" ht="107.25" customHeight="1" x14ac:dyDescent="0.25">
      <c r="B481" s="24">
        <v>44551</v>
      </c>
      <c r="C481" s="24" t="s">
        <v>2351</v>
      </c>
      <c r="D481" s="54" t="s">
        <v>3890</v>
      </c>
      <c r="E481" s="26" t="s">
        <v>3923</v>
      </c>
      <c r="F481" s="64" t="s">
        <v>3912</v>
      </c>
      <c r="G481" s="54" t="s">
        <v>28</v>
      </c>
      <c r="H481" s="26" t="s">
        <v>60</v>
      </c>
      <c r="I481" s="54" t="s">
        <v>19</v>
      </c>
      <c r="J481" s="54">
        <v>193.26</v>
      </c>
      <c r="K481" s="54">
        <v>56.741900000000001</v>
      </c>
      <c r="L481" s="61">
        <f t="shared" si="51"/>
        <v>3.4059486904738825</v>
      </c>
      <c r="M481" s="54">
        <v>48</v>
      </c>
      <c r="N481" s="58">
        <f t="shared" si="60"/>
        <v>4.0262500000000001</v>
      </c>
      <c r="O481" s="38">
        <f t="shared" ca="1" si="59"/>
        <v>25</v>
      </c>
      <c r="P481" s="36">
        <f t="shared" ca="1" si="61"/>
        <v>92.603749999999991</v>
      </c>
      <c r="Q481" s="36">
        <f t="shared" ca="1" si="58"/>
        <v>92.603749999999991</v>
      </c>
      <c r="R481" s="637" t="s">
        <v>3893</v>
      </c>
    </row>
    <row r="482" spans="2:18" s="4" customFormat="1" ht="107.25" customHeight="1" x14ac:dyDescent="0.25">
      <c r="B482" s="24">
        <v>44551</v>
      </c>
      <c r="C482" s="24" t="s">
        <v>2351</v>
      </c>
      <c r="D482" s="54" t="s">
        <v>3890</v>
      </c>
      <c r="E482" s="26" t="s">
        <v>3924</v>
      </c>
      <c r="F482" s="64" t="s">
        <v>3912</v>
      </c>
      <c r="G482" s="54" t="s">
        <v>28</v>
      </c>
      <c r="H482" s="26" t="s">
        <v>60</v>
      </c>
      <c r="I482" s="54" t="s">
        <v>19</v>
      </c>
      <c r="J482" s="54">
        <v>193.26</v>
      </c>
      <c r="K482" s="54">
        <v>56.741900000000001</v>
      </c>
      <c r="L482" s="61">
        <f t="shared" si="51"/>
        <v>3.4059486904738825</v>
      </c>
      <c r="M482" s="54">
        <v>48</v>
      </c>
      <c r="N482" s="58">
        <f t="shared" si="60"/>
        <v>4.0262500000000001</v>
      </c>
      <c r="O482" s="38">
        <f t="shared" ca="1" si="59"/>
        <v>25</v>
      </c>
      <c r="P482" s="36">
        <f t="shared" ca="1" si="61"/>
        <v>92.603749999999991</v>
      </c>
      <c r="Q482" s="36">
        <f t="shared" ca="1" si="58"/>
        <v>92.603749999999991</v>
      </c>
      <c r="R482" s="637" t="s">
        <v>3893</v>
      </c>
    </row>
    <row r="483" spans="2:18" s="4" customFormat="1" ht="107.25" customHeight="1" x14ac:dyDescent="0.25">
      <c r="B483" s="24">
        <v>44551</v>
      </c>
      <c r="C483" s="24" t="s">
        <v>2351</v>
      </c>
      <c r="D483" s="54" t="s">
        <v>3890</v>
      </c>
      <c r="E483" s="26" t="s">
        <v>3925</v>
      </c>
      <c r="F483" s="64" t="s">
        <v>3912</v>
      </c>
      <c r="G483" s="54" t="s">
        <v>28</v>
      </c>
      <c r="H483" s="26" t="s">
        <v>60</v>
      </c>
      <c r="I483" s="54" t="s">
        <v>19</v>
      </c>
      <c r="J483" s="54">
        <v>193.26</v>
      </c>
      <c r="K483" s="54">
        <v>56.741900000000001</v>
      </c>
      <c r="L483" s="61">
        <f t="shared" si="51"/>
        <v>3.4059486904738825</v>
      </c>
      <c r="M483" s="54">
        <v>48</v>
      </c>
      <c r="N483" s="58">
        <f t="shared" si="60"/>
        <v>4.0262500000000001</v>
      </c>
      <c r="O483" s="38">
        <f t="shared" ca="1" si="59"/>
        <v>25</v>
      </c>
      <c r="P483" s="36">
        <f t="shared" ca="1" si="61"/>
        <v>92.603749999999991</v>
      </c>
      <c r="Q483" s="36">
        <f t="shared" ca="1" si="58"/>
        <v>92.603749999999991</v>
      </c>
      <c r="R483" s="637" t="s">
        <v>3893</v>
      </c>
    </row>
    <row r="484" spans="2:18" s="4" customFormat="1" ht="107.25" customHeight="1" x14ac:dyDescent="0.25">
      <c r="B484" s="24">
        <v>44551</v>
      </c>
      <c r="C484" s="24" t="s">
        <v>2351</v>
      </c>
      <c r="D484" s="54" t="s">
        <v>3890</v>
      </c>
      <c r="E484" s="26" t="s">
        <v>3926</v>
      </c>
      <c r="F484" s="64" t="s">
        <v>3912</v>
      </c>
      <c r="G484" s="54" t="s">
        <v>28</v>
      </c>
      <c r="H484" s="26" t="s">
        <v>60</v>
      </c>
      <c r="I484" s="54" t="s">
        <v>19</v>
      </c>
      <c r="J484" s="54">
        <v>193.26</v>
      </c>
      <c r="K484" s="54">
        <v>56.741900000000001</v>
      </c>
      <c r="L484" s="61">
        <f t="shared" si="51"/>
        <v>3.4059486904738825</v>
      </c>
      <c r="M484" s="54">
        <v>48</v>
      </c>
      <c r="N484" s="58">
        <f t="shared" si="60"/>
        <v>4.0262500000000001</v>
      </c>
      <c r="O484" s="38">
        <f t="shared" ca="1" si="59"/>
        <v>25</v>
      </c>
      <c r="P484" s="36">
        <f t="shared" ca="1" si="61"/>
        <v>92.603749999999991</v>
      </c>
      <c r="Q484" s="36">
        <f t="shared" ca="1" si="58"/>
        <v>92.603749999999991</v>
      </c>
      <c r="R484" s="637" t="s">
        <v>3893</v>
      </c>
    </row>
    <row r="485" spans="2:18" s="4" customFormat="1" ht="107.25" customHeight="1" x14ac:dyDescent="0.25">
      <c r="B485" s="24">
        <v>44551</v>
      </c>
      <c r="C485" s="24" t="s">
        <v>2351</v>
      </c>
      <c r="D485" s="54" t="s">
        <v>3890</v>
      </c>
      <c r="E485" s="26" t="s">
        <v>3927</v>
      </c>
      <c r="F485" s="64" t="s">
        <v>3912</v>
      </c>
      <c r="G485" s="54" t="s">
        <v>28</v>
      </c>
      <c r="H485" s="26" t="s">
        <v>60</v>
      </c>
      <c r="I485" s="54" t="s">
        <v>19</v>
      </c>
      <c r="J485" s="54">
        <v>193.26</v>
      </c>
      <c r="K485" s="54">
        <v>56.741900000000001</v>
      </c>
      <c r="L485" s="61">
        <f t="shared" si="51"/>
        <v>3.4059486904738825</v>
      </c>
      <c r="M485" s="54">
        <v>48</v>
      </c>
      <c r="N485" s="58">
        <f t="shared" si="60"/>
        <v>4.0262500000000001</v>
      </c>
      <c r="O485" s="38">
        <f t="shared" ca="1" si="59"/>
        <v>25</v>
      </c>
      <c r="P485" s="36">
        <f t="shared" ca="1" si="61"/>
        <v>92.603749999999991</v>
      </c>
      <c r="Q485" s="36">
        <f t="shared" ca="1" si="58"/>
        <v>92.603749999999991</v>
      </c>
      <c r="R485" s="637" t="s">
        <v>3893</v>
      </c>
    </row>
    <row r="486" spans="2:18" s="4" customFormat="1" ht="107.25" customHeight="1" x14ac:dyDescent="0.25">
      <c r="B486" s="24">
        <v>44551</v>
      </c>
      <c r="C486" s="24" t="s">
        <v>2351</v>
      </c>
      <c r="D486" s="54" t="s">
        <v>3890</v>
      </c>
      <c r="E486" s="26" t="s">
        <v>3928</v>
      </c>
      <c r="F486" s="64" t="s">
        <v>3912</v>
      </c>
      <c r="G486" s="54" t="s">
        <v>28</v>
      </c>
      <c r="H486" s="26" t="s">
        <v>60</v>
      </c>
      <c r="I486" s="54" t="s">
        <v>19</v>
      </c>
      <c r="J486" s="54">
        <v>193.26</v>
      </c>
      <c r="K486" s="54">
        <v>56.741900000000001</v>
      </c>
      <c r="L486" s="61">
        <f t="shared" si="51"/>
        <v>3.4059486904738825</v>
      </c>
      <c r="M486" s="54">
        <v>48</v>
      </c>
      <c r="N486" s="58">
        <f t="shared" si="60"/>
        <v>4.0262500000000001</v>
      </c>
      <c r="O486" s="38">
        <f t="shared" ca="1" si="59"/>
        <v>25</v>
      </c>
      <c r="P486" s="36">
        <f t="shared" ca="1" si="61"/>
        <v>92.603749999999991</v>
      </c>
      <c r="Q486" s="36">
        <f t="shared" ca="1" si="58"/>
        <v>92.603749999999991</v>
      </c>
      <c r="R486" s="637" t="s">
        <v>3893</v>
      </c>
    </row>
    <row r="487" spans="2:18" s="4" customFormat="1" ht="107.25" customHeight="1" x14ac:dyDescent="0.25">
      <c r="B487" s="24">
        <v>44551</v>
      </c>
      <c r="C487" s="24" t="s">
        <v>2351</v>
      </c>
      <c r="D487" s="54" t="s">
        <v>3890</v>
      </c>
      <c r="E487" s="26" t="s">
        <v>3929</v>
      </c>
      <c r="F487" s="64" t="s">
        <v>3912</v>
      </c>
      <c r="G487" s="54" t="s">
        <v>28</v>
      </c>
      <c r="H487" s="26" t="s">
        <v>60</v>
      </c>
      <c r="I487" s="54" t="s">
        <v>19</v>
      </c>
      <c r="J487" s="54">
        <v>193.26</v>
      </c>
      <c r="K487" s="54">
        <v>56.741900000000001</v>
      </c>
      <c r="L487" s="61">
        <f t="shared" si="51"/>
        <v>3.4059486904738825</v>
      </c>
      <c r="M487" s="54">
        <v>48</v>
      </c>
      <c r="N487" s="58">
        <f t="shared" si="60"/>
        <v>4.0262500000000001</v>
      </c>
      <c r="O487" s="38">
        <f t="shared" ca="1" si="59"/>
        <v>25</v>
      </c>
      <c r="P487" s="36">
        <f t="shared" ca="1" si="61"/>
        <v>92.603749999999991</v>
      </c>
      <c r="Q487" s="36">
        <f t="shared" ca="1" si="58"/>
        <v>92.603749999999991</v>
      </c>
      <c r="R487" s="637" t="s">
        <v>3893</v>
      </c>
    </row>
    <row r="488" spans="2:18" s="4" customFormat="1" ht="107.25" customHeight="1" x14ac:dyDescent="0.25">
      <c r="B488" s="24">
        <v>44551</v>
      </c>
      <c r="C488" s="24" t="s">
        <v>2351</v>
      </c>
      <c r="D488" s="54" t="s">
        <v>3890</v>
      </c>
      <c r="E488" s="26" t="s">
        <v>3930</v>
      </c>
      <c r="F488" s="64" t="s">
        <v>3912</v>
      </c>
      <c r="G488" s="54" t="s">
        <v>28</v>
      </c>
      <c r="H488" s="26" t="s">
        <v>60</v>
      </c>
      <c r="I488" s="54" t="s">
        <v>19</v>
      </c>
      <c r="J488" s="54">
        <v>193.26</v>
      </c>
      <c r="K488" s="54">
        <v>56.741900000000001</v>
      </c>
      <c r="L488" s="61">
        <f t="shared" si="51"/>
        <v>3.4059486904738825</v>
      </c>
      <c r="M488" s="54">
        <v>48</v>
      </c>
      <c r="N488" s="58">
        <f t="shared" si="60"/>
        <v>4.0262500000000001</v>
      </c>
      <c r="O488" s="38">
        <f t="shared" ca="1" si="59"/>
        <v>25</v>
      </c>
      <c r="P488" s="36">
        <f t="shared" ca="1" si="61"/>
        <v>92.603749999999991</v>
      </c>
      <c r="Q488" s="36">
        <f t="shared" ca="1" si="58"/>
        <v>92.603749999999991</v>
      </c>
      <c r="R488" s="637" t="s">
        <v>3893</v>
      </c>
    </row>
    <row r="489" spans="2:18" s="4" customFormat="1" ht="107.25" customHeight="1" x14ac:dyDescent="0.25">
      <c r="B489" s="24">
        <v>44551</v>
      </c>
      <c r="C489" s="24" t="s">
        <v>2351</v>
      </c>
      <c r="D489" s="54" t="s">
        <v>3890</v>
      </c>
      <c r="E489" s="26" t="s">
        <v>3931</v>
      </c>
      <c r="F489" s="64" t="s">
        <v>3912</v>
      </c>
      <c r="G489" s="54" t="s">
        <v>28</v>
      </c>
      <c r="H489" s="26" t="s">
        <v>60</v>
      </c>
      <c r="I489" s="54" t="s">
        <v>19</v>
      </c>
      <c r="J489" s="54">
        <v>193.26</v>
      </c>
      <c r="K489" s="54">
        <v>56.741900000000001</v>
      </c>
      <c r="L489" s="61">
        <f t="shared" si="51"/>
        <v>3.4059486904738825</v>
      </c>
      <c r="M489" s="54">
        <v>48</v>
      </c>
      <c r="N489" s="58">
        <f t="shared" si="60"/>
        <v>4.0262500000000001</v>
      </c>
      <c r="O489" s="38">
        <f t="shared" ca="1" si="59"/>
        <v>25</v>
      </c>
      <c r="P489" s="36">
        <f t="shared" ca="1" si="61"/>
        <v>92.603749999999991</v>
      </c>
      <c r="Q489" s="36">
        <f t="shared" ca="1" si="58"/>
        <v>92.603749999999991</v>
      </c>
      <c r="R489" s="637" t="s">
        <v>3893</v>
      </c>
    </row>
    <row r="490" spans="2:18" s="4" customFormat="1" ht="107.25" customHeight="1" x14ac:dyDescent="0.25">
      <c r="B490" s="24">
        <v>44551</v>
      </c>
      <c r="C490" s="24" t="s">
        <v>2351</v>
      </c>
      <c r="D490" s="54" t="s">
        <v>3890</v>
      </c>
      <c r="E490" s="26" t="s">
        <v>3932</v>
      </c>
      <c r="F490" s="64" t="s">
        <v>3933</v>
      </c>
      <c r="G490" s="54" t="s">
        <v>28</v>
      </c>
      <c r="H490" s="26" t="s">
        <v>60</v>
      </c>
      <c r="I490" s="54" t="s">
        <v>19</v>
      </c>
      <c r="J490" s="54">
        <v>311.63</v>
      </c>
      <c r="K490" s="54">
        <v>56.741900000000001</v>
      </c>
      <c r="L490" s="61">
        <f t="shared" si="51"/>
        <v>5.4920614219826973</v>
      </c>
      <c r="M490" s="54">
        <v>48</v>
      </c>
      <c r="N490" s="58">
        <f t="shared" si="60"/>
        <v>6.4922916666666666</v>
      </c>
      <c r="O490" s="38">
        <f t="shared" ca="1" si="59"/>
        <v>25</v>
      </c>
      <c r="P490" s="36">
        <f t="shared" ca="1" si="61"/>
        <v>149.32270833333334</v>
      </c>
      <c r="Q490" s="36">
        <f t="shared" ca="1" si="58"/>
        <v>149.32270833333334</v>
      </c>
      <c r="R490" s="637" t="s">
        <v>3893</v>
      </c>
    </row>
    <row r="491" spans="2:18" s="4" customFormat="1" ht="107.25" customHeight="1" x14ac:dyDescent="0.25">
      <c r="B491" s="24">
        <v>44551</v>
      </c>
      <c r="C491" s="24" t="s">
        <v>2351</v>
      </c>
      <c r="D491" s="54" t="s">
        <v>3890</v>
      </c>
      <c r="E491" s="26" t="s">
        <v>3934</v>
      </c>
      <c r="F491" s="64" t="s">
        <v>3933</v>
      </c>
      <c r="G491" s="54" t="s">
        <v>28</v>
      </c>
      <c r="H491" s="26" t="s">
        <v>60</v>
      </c>
      <c r="I491" s="54" t="s">
        <v>19</v>
      </c>
      <c r="J491" s="54">
        <v>311.58</v>
      </c>
      <c r="K491" s="54">
        <v>56.741900000000001</v>
      </c>
      <c r="L491" s="61">
        <f t="shared" si="51"/>
        <v>5.4911802389415927</v>
      </c>
      <c r="M491" s="54">
        <v>48</v>
      </c>
      <c r="N491" s="58">
        <f t="shared" si="60"/>
        <v>6.49125</v>
      </c>
      <c r="O491" s="38">
        <f t="shared" ca="1" si="59"/>
        <v>25</v>
      </c>
      <c r="P491" s="36">
        <f t="shared" ca="1" si="61"/>
        <v>149.29874999999998</v>
      </c>
      <c r="Q491" s="36">
        <f t="shared" ca="1" si="58"/>
        <v>149.29874999999998</v>
      </c>
      <c r="R491" s="637" t="s">
        <v>3893</v>
      </c>
    </row>
    <row r="492" spans="2:18" s="4" customFormat="1" ht="107.25" customHeight="1" x14ac:dyDescent="0.25">
      <c r="B492" s="24">
        <v>44551</v>
      </c>
      <c r="C492" s="24" t="s">
        <v>2351</v>
      </c>
      <c r="D492" s="54" t="s">
        <v>3890</v>
      </c>
      <c r="E492" s="26" t="s">
        <v>3935</v>
      </c>
      <c r="F492" s="64" t="s">
        <v>3933</v>
      </c>
      <c r="G492" s="54" t="s">
        <v>28</v>
      </c>
      <c r="H492" s="26" t="s">
        <v>60</v>
      </c>
      <c r="I492" s="54" t="s">
        <v>19</v>
      </c>
      <c r="J492" s="54">
        <v>311.58</v>
      </c>
      <c r="K492" s="54">
        <v>56.741900000000001</v>
      </c>
      <c r="L492" s="61">
        <f t="shared" si="51"/>
        <v>5.4911802389415927</v>
      </c>
      <c r="M492" s="54">
        <v>48</v>
      </c>
      <c r="N492" s="58">
        <f t="shared" si="60"/>
        <v>6.49125</v>
      </c>
      <c r="O492" s="38">
        <f t="shared" ca="1" si="59"/>
        <v>25</v>
      </c>
      <c r="P492" s="36">
        <f t="shared" ca="1" si="61"/>
        <v>149.29874999999998</v>
      </c>
      <c r="Q492" s="36">
        <f t="shared" ca="1" si="58"/>
        <v>149.29874999999998</v>
      </c>
      <c r="R492" s="637" t="s">
        <v>3893</v>
      </c>
    </row>
    <row r="493" spans="2:18" s="4" customFormat="1" ht="107.25" customHeight="1" x14ac:dyDescent="0.25">
      <c r="B493" s="24">
        <v>44551</v>
      </c>
      <c r="C493" s="24" t="s">
        <v>2351</v>
      </c>
      <c r="D493" s="54" t="s">
        <v>3890</v>
      </c>
      <c r="E493" s="26" t="s">
        <v>3936</v>
      </c>
      <c r="F493" s="64" t="s">
        <v>3933</v>
      </c>
      <c r="G493" s="54" t="s">
        <v>28</v>
      </c>
      <c r="H493" s="26" t="s">
        <v>60</v>
      </c>
      <c r="I493" s="54" t="s">
        <v>19</v>
      </c>
      <c r="J493" s="54">
        <v>311.58</v>
      </c>
      <c r="K493" s="54">
        <v>56.741900000000001</v>
      </c>
      <c r="L493" s="61">
        <f t="shared" si="51"/>
        <v>5.4911802389415927</v>
      </c>
      <c r="M493" s="54">
        <v>48</v>
      </c>
      <c r="N493" s="58">
        <f t="shared" si="60"/>
        <v>6.49125</v>
      </c>
      <c r="O493" s="38">
        <f t="shared" ca="1" si="59"/>
        <v>25</v>
      </c>
      <c r="P493" s="36">
        <f t="shared" ca="1" si="61"/>
        <v>149.29874999999998</v>
      </c>
      <c r="Q493" s="36">
        <f t="shared" ca="1" si="58"/>
        <v>149.29874999999998</v>
      </c>
      <c r="R493" s="637" t="s">
        <v>3893</v>
      </c>
    </row>
    <row r="494" spans="2:18" s="4" customFormat="1" ht="107.25" customHeight="1" x14ac:dyDescent="0.25">
      <c r="B494" s="24">
        <v>44551</v>
      </c>
      <c r="C494" s="24" t="s">
        <v>2351</v>
      </c>
      <c r="D494" s="54" t="s">
        <v>3890</v>
      </c>
      <c r="E494" s="26" t="s">
        <v>3937</v>
      </c>
      <c r="F494" s="64" t="s">
        <v>3933</v>
      </c>
      <c r="G494" s="54" t="s">
        <v>28</v>
      </c>
      <c r="H494" s="26" t="s">
        <v>60</v>
      </c>
      <c r="I494" s="54" t="s">
        <v>19</v>
      </c>
      <c r="J494" s="54">
        <v>311.58</v>
      </c>
      <c r="K494" s="54">
        <v>56.741900000000001</v>
      </c>
      <c r="L494" s="61">
        <f t="shared" si="51"/>
        <v>5.4911802389415927</v>
      </c>
      <c r="M494" s="54">
        <v>48</v>
      </c>
      <c r="N494" s="58">
        <f t="shared" si="60"/>
        <v>6.49125</v>
      </c>
      <c r="O494" s="38">
        <f t="shared" ca="1" si="59"/>
        <v>25</v>
      </c>
      <c r="P494" s="36">
        <f t="shared" ca="1" si="61"/>
        <v>149.29874999999998</v>
      </c>
      <c r="Q494" s="36">
        <f t="shared" ca="1" si="58"/>
        <v>149.29874999999998</v>
      </c>
      <c r="R494" s="637" t="s">
        <v>3893</v>
      </c>
    </row>
    <row r="495" spans="2:18" s="4" customFormat="1" ht="107.25" customHeight="1" x14ac:dyDescent="0.25">
      <c r="B495" s="24">
        <v>44551</v>
      </c>
      <c r="C495" s="24" t="s">
        <v>2351</v>
      </c>
      <c r="D495" s="54" t="s">
        <v>3890</v>
      </c>
      <c r="E495" s="26" t="s">
        <v>3938</v>
      </c>
      <c r="F495" s="64" t="s">
        <v>3933</v>
      </c>
      <c r="G495" s="54" t="s">
        <v>28</v>
      </c>
      <c r="H495" s="26" t="s">
        <v>60</v>
      </c>
      <c r="I495" s="54" t="s">
        <v>19</v>
      </c>
      <c r="J495" s="54">
        <v>311.58</v>
      </c>
      <c r="K495" s="54">
        <v>56.741900000000001</v>
      </c>
      <c r="L495" s="61">
        <f t="shared" si="51"/>
        <v>5.4911802389415927</v>
      </c>
      <c r="M495" s="54">
        <v>48</v>
      </c>
      <c r="N495" s="58">
        <f t="shared" si="60"/>
        <v>6.49125</v>
      </c>
      <c r="O495" s="38">
        <f t="shared" ca="1" si="59"/>
        <v>25</v>
      </c>
      <c r="P495" s="36">
        <f t="shared" ca="1" si="61"/>
        <v>149.29874999999998</v>
      </c>
      <c r="Q495" s="36">
        <f t="shared" ca="1" si="58"/>
        <v>149.29874999999998</v>
      </c>
      <c r="R495" s="637" t="s">
        <v>3893</v>
      </c>
    </row>
    <row r="496" spans="2:18" s="4" customFormat="1" ht="107.25" customHeight="1" x14ac:dyDescent="0.25">
      <c r="B496" s="24">
        <v>44551</v>
      </c>
      <c r="C496" s="24" t="s">
        <v>2351</v>
      </c>
      <c r="D496" s="54" t="s">
        <v>3890</v>
      </c>
      <c r="E496" s="26" t="s">
        <v>3939</v>
      </c>
      <c r="F496" s="64" t="s">
        <v>3933</v>
      </c>
      <c r="G496" s="54" t="s">
        <v>28</v>
      </c>
      <c r="H496" s="26" t="s">
        <v>60</v>
      </c>
      <c r="I496" s="54" t="s">
        <v>19</v>
      </c>
      <c r="J496" s="54">
        <v>311.58</v>
      </c>
      <c r="K496" s="54">
        <v>56.741900000000001</v>
      </c>
      <c r="L496" s="61">
        <f t="shared" si="51"/>
        <v>5.4911802389415927</v>
      </c>
      <c r="M496" s="54">
        <v>48</v>
      </c>
      <c r="N496" s="58">
        <f t="shared" si="60"/>
        <v>6.49125</v>
      </c>
      <c r="O496" s="38">
        <f t="shared" ca="1" si="59"/>
        <v>25</v>
      </c>
      <c r="P496" s="36">
        <f t="shared" ca="1" si="61"/>
        <v>149.29874999999998</v>
      </c>
      <c r="Q496" s="36">
        <f t="shared" ca="1" si="58"/>
        <v>149.29874999999998</v>
      </c>
      <c r="R496" s="637" t="s">
        <v>3893</v>
      </c>
    </row>
    <row r="497" spans="2:18" s="4" customFormat="1" ht="107.25" customHeight="1" x14ac:dyDescent="0.25">
      <c r="B497" s="24">
        <v>44551</v>
      </c>
      <c r="C497" s="24" t="s">
        <v>2351</v>
      </c>
      <c r="D497" s="54" t="s">
        <v>3890</v>
      </c>
      <c r="E497" s="26" t="s">
        <v>3940</v>
      </c>
      <c r="F497" s="64" t="s">
        <v>3933</v>
      </c>
      <c r="G497" s="54" t="s">
        <v>28</v>
      </c>
      <c r="H497" s="26" t="s">
        <v>60</v>
      </c>
      <c r="I497" s="54" t="s">
        <v>19</v>
      </c>
      <c r="J497" s="54">
        <v>311.58</v>
      </c>
      <c r="K497" s="54">
        <v>56.741900000000001</v>
      </c>
      <c r="L497" s="61">
        <f t="shared" si="51"/>
        <v>5.4911802389415927</v>
      </c>
      <c r="M497" s="54">
        <v>48</v>
      </c>
      <c r="N497" s="58">
        <f t="shared" si="60"/>
        <v>6.49125</v>
      </c>
      <c r="O497" s="38">
        <f t="shared" ca="1" si="59"/>
        <v>25</v>
      </c>
      <c r="P497" s="36">
        <f t="shared" ca="1" si="61"/>
        <v>149.29874999999998</v>
      </c>
      <c r="Q497" s="36">
        <f t="shared" ca="1" si="58"/>
        <v>149.29874999999998</v>
      </c>
      <c r="R497" s="637" t="s">
        <v>3893</v>
      </c>
    </row>
    <row r="498" spans="2:18" s="4" customFormat="1" ht="107.25" customHeight="1" x14ac:dyDescent="0.25">
      <c r="B498" s="24">
        <v>44551</v>
      </c>
      <c r="C498" s="24" t="s">
        <v>2351</v>
      </c>
      <c r="D498" s="54" t="s">
        <v>3890</v>
      </c>
      <c r="E498" s="26" t="s">
        <v>3941</v>
      </c>
      <c r="F498" s="64" t="s">
        <v>3933</v>
      </c>
      <c r="G498" s="54" t="s">
        <v>28</v>
      </c>
      <c r="H498" s="26" t="s">
        <v>60</v>
      </c>
      <c r="I498" s="54" t="s">
        <v>19</v>
      </c>
      <c r="J498" s="54">
        <v>311.58</v>
      </c>
      <c r="K498" s="54">
        <v>56.741900000000001</v>
      </c>
      <c r="L498" s="61">
        <f t="shared" si="51"/>
        <v>5.4911802389415927</v>
      </c>
      <c r="M498" s="54">
        <v>48</v>
      </c>
      <c r="N498" s="58">
        <f t="shared" si="60"/>
        <v>6.49125</v>
      </c>
      <c r="O498" s="38">
        <f t="shared" ca="1" si="59"/>
        <v>25</v>
      </c>
      <c r="P498" s="36">
        <f t="shared" ca="1" si="61"/>
        <v>149.29874999999998</v>
      </c>
      <c r="Q498" s="36">
        <f t="shared" ca="1" si="58"/>
        <v>149.29874999999998</v>
      </c>
      <c r="R498" s="637" t="s">
        <v>3893</v>
      </c>
    </row>
    <row r="499" spans="2:18" s="4" customFormat="1" ht="107.25" customHeight="1" x14ac:dyDescent="0.25">
      <c r="B499" s="24">
        <v>44551</v>
      </c>
      <c r="C499" s="24" t="s">
        <v>2351</v>
      </c>
      <c r="D499" s="54" t="s">
        <v>3890</v>
      </c>
      <c r="E499" s="26" t="s">
        <v>3942</v>
      </c>
      <c r="F499" s="64" t="s">
        <v>3933</v>
      </c>
      <c r="G499" s="54" t="s">
        <v>28</v>
      </c>
      <c r="H499" s="26" t="s">
        <v>60</v>
      </c>
      <c r="I499" s="54" t="s">
        <v>19</v>
      </c>
      <c r="J499" s="54">
        <v>311.58</v>
      </c>
      <c r="K499" s="54">
        <v>56.741900000000001</v>
      </c>
      <c r="L499" s="61">
        <f t="shared" si="51"/>
        <v>5.4911802389415927</v>
      </c>
      <c r="M499" s="54">
        <v>48</v>
      </c>
      <c r="N499" s="58">
        <f t="shared" si="60"/>
        <v>6.49125</v>
      </c>
      <c r="O499" s="38">
        <f t="shared" ca="1" si="59"/>
        <v>25</v>
      </c>
      <c r="P499" s="36">
        <f t="shared" ca="1" si="61"/>
        <v>149.29874999999998</v>
      </c>
      <c r="Q499" s="36">
        <f t="shared" ca="1" si="58"/>
        <v>149.29874999999998</v>
      </c>
      <c r="R499" s="637" t="s">
        <v>3893</v>
      </c>
    </row>
    <row r="500" spans="2:18" s="4" customFormat="1" ht="107.25" customHeight="1" x14ac:dyDescent="0.25">
      <c r="B500" s="24">
        <v>44551</v>
      </c>
      <c r="C500" s="24" t="s">
        <v>2351</v>
      </c>
      <c r="D500" s="54" t="s">
        <v>3890</v>
      </c>
      <c r="E500" s="26" t="s">
        <v>3943</v>
      </c>
      <c r="F500" s="64" t="s">
        <v>3933</v>
      </c>
      <c r="G500" s="54" t="s">
        <v>28</v>
      </c>
      <c r="H500" s="26" t="s">
        <v>60</v>
      </c>
      <c r="I500" s="54" t="s">
        <v>19</v>
      </c>
      <c r="J500" s="54">
        <v>311.58</v>
      </c>
      <c r="K500" s="54">
        <v>56.741900000000001</v>
      </c>
      <c r="L500" s="61">
        <f t="shared" si="51"/>
        <v>5.4911802389415927</v>
      </c>
      <c r="M500" s="54">
        <v>48</v>
      </c>
      <c r="N500" s="58">
        <f t="shared" si="60"/>
        <v>6.49125</v>
      </c>
      <c r="O500" s="38">
        <f t="shared" ca="1" si="59"/>
        <v>25</v>
      </c>
      <c r="P500" s="36">
        <f t="shared" ca="1" si="61"/>
        <v>149.29874999999998</v>
      </c>
      <c r="Q500" s="36">
        <f t="shared" ca="1" si="58"/>
        <v>149.29874999999998</v>
      </c>
      <c r="R500" s="637" t="s">
        <v>3893</v>
      </c>
    </row>
    <row r="501" spans="2:18" s="4" customFormat="1" ht="107.25" customHeight="1" x14ac:dyDescent="0.25">
      <c r="B501" s="24">
        <v>44551</v>
      </c>
      <c r="C501" s="24" t="s">
        <v>2351</v>
      </c>
      <c r="D501" s="54" t="s">
        <v>3890</v>
      </c>
      <c r="E501" s="26" t="s">
        <v>3944</v>
      </c>
      <c r="F501" s="64" t="s">
        <v>3933</v>
      </c>
      <c r="G501" s="54" t="s">
        <v>28</v>
      </c>
      <c r="H501" s="26" t="s">
        <v>60</v>
      </c>
      <c r="I501" s="54" t="s">
        <v>19</v>
      </c>
      <c r="J501" s="54">
        <v>311.58</v>
      </c>
      <c r="K501" s="54">
        <v>56.741900000000001</v>
      </c>
      <c r="L501" s="61">
        <f t="shared" si="51"/>
        <v>5.4911802389415927</v>
      </c>
      <c r="M501" s="54">
        <v>48</v>
      </c>
      <c r="N501" s="58">
        <f t="shared" si="60"/>
        <v>6.49125</v>
      </c>
      <c r="O501" s="38">
        <f t="shared" ca="1" si="59"/>
        <v>25</v>
      </c>
      <c r="P501" s="36">
        <f t="shared" ca="1" si="61"/>
        <v>149.29874999999998</v>
      </c>
      <c r="Q501" s="36">
        <f t="shared" ca="1" si="58"/>
        <v>149.29874999999998</v>
      </c>
      <c r="R501" s="637" t="s">
        <v>3893</v>
      </c>
    </row>
    <row r="502" spans="2:18" s="4" customFormat="1" ht="107.25" customHeight="1" x14ac:dyDescent="0.25">
      <c r="B502" s="24">
        <v>44551</v>
      </c>
      <c r="C502" s="24" t="s">
        <v>2351</v>
      </c>
      <c r="D502" s="54" t="s">
        <v>3890</v>
      </c>
      <c r="E502" s="26" t="s">
        <v>3945</v>
      </c>
      <c r="F502" s="64" t="s">
        <v>3933</v>
      </c>
      <c r="G502" s="54" t="s">
        <v>28</v>
      </c>
      <c r="H502" s="26" t="s">
        <v>60</v>
      </c>
      <c r="I502" s="54" t="s">
        <v>19</v>
      </c>
      <c r="J502" s="54">
        <v>311.58</v>
      </c>
      <c r="K502" s="54">
        <v>56.741900000000001</v>
      </c>
      <c r="L502" s="61">
        <f t="shared" si="51"/>
        <v>5.4911802389415927</v>
      </c>
      <c r="M502" s="54">
        <v>48</v>
      </c>
      <c r="N502" s="58">
        <f t="shared" si="60"/>
        <v>6.49125</v>
      </c>
      <c r="O502" s="38">
        <f t="shared" ca="1" si="59"/>
        <v>25</v>
      </c>
      <c r="P502" s="36">
        <f t="shared" ca="1" si="61"/>
        <v>149.29874999999998</v>
      </c>
      <c r="Q502" s="36">
        <f t="shared" ca="1" si="58"/>
        <v>149.29874999999998</v>
      </c>
      <c r="R502" s="637" t="s">
        <v>3893</v>
      </c>
    </row>
    <row r="503" spans="2:18" s="4" customFormat="1" ht="107.25" customHeight="1" x14ac:dyDescent="0.25">
      <c r="B503" s="24">
        <v>44551</v>
      </c>
      <c r="C503" s="24" t="s">
        <v>2351</v>
      </c>
      <c r="D503" s="54" t="s">
        <v>3890</v>
      </c>
      <c r="E503" s="26" t="s">
        <v>3946</v>
      </c>
      <c r="F503" s="64" t="s">
        <v>3933</v>
      </c>
      <c r="G503" s="54" t="s">
        <v>28</v>
      </c>
      <c r="H503" s="26" t="s">
        <v>60</v>
      </c>
      <c r="I503" s="54" t="s">
        <v>19</v>
      </c>
      <c r="J503" s="54">
        <v>311.58</v>
      </c>
      <c r="K503" s="54">
        <v>56.741900000000001</v>
      </c>
      <c r="L503" s="61">
        <f t="shared" si="51"/>
        <v>5.4911802389415927</v>
      </c>
      <c r="M503" s="54">
        <v>48</v>
      </c>
      <c r="N503" s="58">
        <f t="shared" si="60"/>
        <v>6.49125</v>
      </c>
      <c r="O503" s="38">
        <f t="shared" ca="1" si="59"/>
        <v>25</v>
      </c>
      <c r="P503" s="36">
        <f t="shared" ca="1" si="61"/>
        <v>149.29874999999998</v>
      </c>
      <c r="Q503" s="36">
        <f t="shared" ca="1" si="58"/>
        <v>149.29874999999998</v>
      </c>
      <c r="R503" s="637" t="s">
        <v>3893</v>
      </c>
    </row>
    <row r="504" spans="2:18" s="4" customFormat="1" ht="107.25" customHeight="1" x14ac:dyDescent="0.25">
      <c r="B504" s="24">
        <v>44551</v>
      </c>
      <c r="C504" s="24" t="s">
        <v>2351</v>
      </c>
      <c r="D504" s="54" t="s">
        <v>3890</v>
      </c>
      <c r="E504" s="26" t="s">
        <v>3947</v>
      </c>
      <c r="F504" s="64" t="s">
        <v>3933</v>
      </c>
      <c r="G504" s="54" t="s">
        <v>28</v>
      </c>
      <c r="H504" s="26" t="s">
        <v>60</v>
      </c>
      <c r="I504" s="54" t="s">
        <v>19</v>
      </c>
      <c r="J504" s="54">
        <v>311.58</v>
      </c>
      <c r="K504" s="54">
        <v>56.741900000000001</v>
      </c>
      <c r="L504" s="61">
        <f t="shared" si="51"/>
        <v>5.4911802389415927</v>
      </c>
      <c r="M504" s="54">
        <v>48</v>
      </c>
      <c r="N504" s="58">
        <f t="shared" si="60"/>
        <v>6.49125</v>
      </c>
      <c r="O504" s="38">
        <f t="shared" ca="1" si="59"/>
        <v>25</v>
      </c>
      <c r="P504" s="36">
        <f t="shared" ca="1" si="61"/>
        <v>149.29874999999998</v>
      </c>
      <c r="Q504" s="36">
        <f t="shared" ca="1" si="58"/>
        <v>149.29874999999998</v>
      </c>
      <c r="R504" s="637" t="s">
        <v>3893</v>
      </c>
    </row>
    <row r="505" spans="2:18" s="4" customFormat="1" ht="107.25" customHeight="1" x14ac:dyDescent="0.25">
      <c r="B505" s="24">
        <v>44551</v>
      </c>
      <c r="C505" s="24" t="s">
        <v>2351</v>
      </c>
      <c r="D505" s="54" t="s">
        <v>3890</v>
      </c>
      <c r="E505" s="26" t="s">
        <v>3948</v>
      </c>
      <c r="F505" s="64" t="s">
        <v>3933</v>
      </c>
      <c r="G505" s="54" t="s">
        <v>28</v>
      </c>
      <c r="H505" s="26" t="s">
        <v>60</v>
      </c>
      <c r="I505" s="54" t="s">
        <v>19</v>
      </c>
      <c r="J505" s="54">
        <v>311.58</v>
      </c>
      <c r="K505" s="54">
        <v>56.741900000000001</v>
      </c>
      <c r="L505" s="61">
        <f t="shared" si="51"/>
        <v>5.4911802389415927</v>
      </c>
      <c r="M505" s="54">
        <v>48</v>
      </c>
      <c r="N505" s="58">
        <f t="shared" si="60"/>
        <v>6.49125</v>
      </c>
      <c r="O505" s="38">
        <f t="shared" ca="1" si="59"/>
        <v>25</v>
      </c>
      <c r="P505" s="36">
        <f t="shared" ca="1" si="61"/>
        <v>149.29874999999998</v>
      </c>
      <c r="Q505" s="36">
        <f t="shared" ca="1" si="58"/>
        <v>149.29874999999998</v>
      </c>
      <c r="R505" s="637" t="s">
        <v>3893</v>
      </c>
    </row>
    <row r="506" spans="2:18" s="4" customFormat="1" ht="107.25" customHeight="1" x14ac:dyDescent="0.25">
      <c r="B506" s="24">
        <v>44551</v>
      </c>
      <c r="C506" s="24" t="s">
        <v>2351</v>
      </c>
      <c r="D506" s="54" t="s">
        <v>3890</v>
      </c>
      <c r="E506" s="26" t="s">
        <v>3949</v>
      </c>
      <c r="F506" s="64" t="s">
        <v>3933</v>
      </c>
      <c r="G506" s="54" t="s">
        <v>28</v>
      </c>
      <c r="H506" s="26" t="s">
        <v>60</v>
      </c>
      <c r="I506" s="54" t="s">
        <v>19</v>
      </c>
      <c r="J506" s="54">
        <v>311.58</v>
      </c>
      <c r="K506" s="54">
        <v>56.741900000000001</v>
      </c>
      <c r="L506" s="61">
        <f t="shared" si="51"/>
        <v>5.4911802389415927</v>
      </c>
      <c r="M506" s="54">
        <v>48</v>
      </c>
      <c r="N506" s="58">
        <f t="shared" si="60"/>
        <v>6.49125</v>
      </c>
      <c r="O506" s="38">
        <f t="shared" ca="1" si="59"/>
        <v>25</v>
      </c>
      <c r="P506" s="36">
        <f t="shared" ca="1" si="61"/>
        <v>149.29874999999998</v>
      </c>
      <c r="Q506" s="36">
        <f t="shared" ref="Q506:Q668" ca="1" si="62">IF(P506&lt;1,1,P506)</f>
        <v>149.29874999999998</v>
      </c>
      <c r="R506" s="637" t="s">
        <v>3893</v>
      </c>
    </row>
    <row r="507" spans="2:18" s="4" customFormat="1" ht="107.25" customHeight="1" x14ac:dyDescent="0.25">
      <c r="B507" s="24">
        <v>44551</v>
      </c>
      <c r="C507" s="24" t="s">
        <v>2351</v>
      </c>
      <c r="D507" s="54" t="s">
        <v>3890</v>
      </c>
      <c r="E507" s="26" t="s">
        <v>3950</v>
      </c>
      <c r="F507" s="64" t="s">
        <v>3933</v>
      </c>
      <c r="G507" s="54" t="s">
        <v>28</v>
      </c>
      <c r="H507" s="26" t="s">
        <v>60</v>
      </c>
      <c r="I507" s="54" t="s">
        <v>19</v>
      </c>
      <c r="J507" s="54">
        <v>311.58</v>
      </c>
      <c r="K507" s="54">
        <v>56.741900000000001</v>
      </c>
      <c r="L507" s="61">
        <f t="shared" si="51"/>
        <v>5.4911802389415927</v>
      </c>
      <c r="M507" s="54">
        <v>48</v>
      </c>
      <c r="N507" s="58">
        <f t="shared" si="60"/>
        <v>6.49125</v>
      </c>
      <c r="O507" s="38">
        <f t="shared" ca="1" si="59"/>
        <v>25</v>
      </c>
      <c r="P507" s="36">
        <f t="shared" ca="1" si="61"/>
        <v>149.29874999999998</v>
      </c>
      <c r="Q507" s="36">
        <f t="shared" ca="1" si="62"/>
        <v>149.29874999999998</v>
      </c>
      <c r="R507" s="637" t="s">
        <v>3893</v>
      </c>
    </row>
    <row r="508" spans="2:18" s="4" customFormat="1" ht="107.25" customHeight="1" x14ac:dyDescent="0.25">
      <c r="B508" s="24">
        <v>44551</v>
      </c>
      <c r="C508" s="24" t="s">
        <v>2351</v>
      </c>
      <c r="D508" s="54" t="s">
        <v>3890</v>
      </c>
      <c r="E508" s="26" t="s">
        <v>3951</v>
      </c>
      <c r="F508" s="64" t="s">
        <v>3933</v>
      </c>
      <c r="G508" s="54" t="s">
        <v>28</v>
      </c>
      <c r="H508" s="26" t="s">
        <v>60</v>
      </c>
      <c r="I508" s="54" t="s">
        <v>19</v>
      </c>
      <c r="J508" s="54">
        <v>311.58</v>
      </c>
      <c r="K508" s="54">
        <v>56.741900000000001</v>
      </c>
      <c r="L508" s="61">
        <f t="shared" si="51"/>
        <v>5.4911802389415927</v>
      </c>
      <c r="M508" s="54">
        <v>48</v>
      </c>
      <c r="N508" s="58">
        <f t="shared" si="60"/>
        <v>6.49125</v>
      </c>
      <c r="O508" s="38">
        <f t="shared" ca="1" si="59"/>
        <v>25</v>
      </c>
      <c r="P508" s="36">
        <f t="shared" ca="1" si="61"/>
        <v>149.29874999999998</v>
      </c>
      <c r="Q508" s="36">
        <f t="shared" ca="1" si="62"/>
        <v>149.29874999999998</v>
      </c>
      <c r="R508" s="637" t="s">
        <v>3893</v>
      </c>
    </row>
    <row r="509" spans="2:18" s="4" customFormat="1" ht="107.25" customHeight="1" x14ac:dyDescent="0.25">
      <c r="B509" s="24">
        <v>44551</v>
      </c>
      <c r="C509" s="24" t="s">
        <v>2351</v>
      </c>
      <c r="D509" s="54" t="s">
        <v>3890</v>
      </c>
      <c r="E509" s="26" t="s">
        <v>3952</v>
      </c>
      <c r="F509" s="64" t="s">
        <v>3933</v>
      </c>
      <c r="G509" s="54" t="s">
        <v>28</v>
      </c>
      <c r="H509" s="26" t="s">
        <v>60</v>
      </c>
      <c r="I509" s="54" t="s">
        <v>19</v>
      </c>
      <c r="J509" s="54">
        <v>311.58</v>
      </c>
      <c r="K509" s="54">
        <v>56.741900000000001</v>
      </c>
      <c r="L509" s="61">
        <f t="shared" si="51"/>
        <v>5.4911802389415927</v>
      </c>
      <c r="M509" s="54">
        <v>48</v>
      </c>
      <c r="N509" s="58">
        <f t="shared" si="60"/>
        <v>6.49125</v>
      </c>
      <c r="O509" s="38">
        <f t="shared" ca="1" si="59"/>
        <v>25</v>
      </c>
      <c r="P509" s="36">
        <f t="shared" ca="1" si="61"/>
        <v>149.29874999999998</v>
      </c>
      <c r="Q509" s="36">
        <f t="shared" ca="1" si="62"/>
        <v>149.29874999999998</v>
      </c>
      <c r="R509" s="637" t="s">
        <v>3893</v>
      </c>
    </row>
    <row r="510" spans="2:18" s="4" customFormat="1" ht="107.25" customHeight="1" x14ac:dyDescent="0.25">
      <c r="B510" s="24">
        <v>44551</v>
      </c>
      <c r="C510" s="24" t="s">
        <v>2351</v>
      </c>
      <c r="D510" s="54" t="s">
        <v>3890</v>
      </c>
      <c r="E510" s="26" t="s">
        <v>3953</v>
      </c>
      <c r="F510" s="54" t="s">
        <v>3954</v>
      </c>
      <c r="G510" s="54" t="s">
        <v>28</v>
      </c>
      <c r="H510" s="26" t="s">
        <v>60</v>
      </c>
      <c r="I510" s="54" t="s">
        <v>19</v>
      </c>
      <c r="J510" s="54">
        <v>14860.61</v>
      </c>
      <c r="K510" s="54">
        <v>56.741900000000001</v>
      </c>
      <c r="L510" s="61">
        <f t="shared" si="51"/>
        <v>261.89835024911048</v>
      </c>
      <c r="M510" s="54">
        <v>48</v>
      </c>
      <c r="N510" s="58">
        <f t="shared" si="60"/>
        <v>309.59604166666668</v>
      </c>
      <c r="O510" s="38">
        <f t="shared" ca="1" si="59"/>
        <v>25</v>
      </c>
      <c r="P510" s="36">
        <f t="shared" ca="1" si="61"/>
        <v>7120.7089583333336</v>
      </c>
      <c r="Q510" s="36">
        <f t="shared" ca="1" si="62"/>
        <v>7120.7089583333336</v>
      </c>
      <c r="R510" s="637" t="s">
        <v>3893</v>
      </c>
    </row>
    <row r="511" spans="2:18" s="4" customFormat="1" ht="107.25" customHeight="1" x14ac:dyDescent="0.25">
      <c r="B511" s="24">
        <v>44551</v>
      </c>
      <c r="C511" s="24" t="s">
        <v>2351</v>
      </c>
      <c r="D511" s="54" t="s">
        <v>3890</v>
      </c>
      <c r="E511" s="26" t="s">
        <v>3955</v>
      </c>
      <c r="F511" s="54" t="s">
        <v>3954</v>
      </c>
      <c r="G511" s="54" t="s">
        <v>28</v>
      </c>
      <c r="H511" s="26" t="s">
        <v>60</v>
      </c>
      <c r="I511" s="54" t="s">
        <v>19</v>
      </c>
      <c r="J511" s="54">
        <v>14860.59</v>
      </c>
      <c r="K511" s="54">
        <v>56.741900000000001</v>
      </c>
      <c r="L511" s="61">
        <f t="shared" si="51"/>
        <v>261.897997775894</v>
      </c>
      <c r="M511" s="54">
        <v>48</v>
      </c>
      <c r="N511" s="58">
        <f t="shared" si="60"/>
        <v>309.59562499999998</v>
      </c>
      <c r="O511" s="38">
        <f t="shared" ca="1" si="59"/>
        <v>25</v>
      </c>
      <c r="P511" s="36">
        <f t="shared" ca="1" si="61"/>
        <v>7120.6993750000001</v>
      </c>
      <c r="Q511" s="36">
        <f t="shared" ca="1" si="62"/>
        <v>7120.6993750000001</v>
      </c>
      <c r="R511" s="637" t="s">
        <v>3893</v>
      </c>
    </row>
    <row r="512" spans="2:18" s="4" customFormat="1" ht="107.25" customHeight="1" x14ac:dyDescent="0.25">
      <c r="B512" s="24">
        <v>44551</v>
      </c>
      <c r="C512" s="24" t="s">
        <v>2351</v>
      </c>
      <c r="D512" s="54" t="s">
        <v>3890</v>
      </c>
      <c r="E512" s="26" t="s">
        <v>3956</v>
      </c>
      <c r="F512" s="54" t="s">
        <v>3954</v>
      </c>
      <c r="G512" s="54" t="s">
        <v>28</v>
      </c>
      <c r="H512" s="26" t="s">
        <v>60</v>
      </c>
      <c r="I512" s="54" t="s">
        <v>19</v>
      </c>
      <c r="J512" s="54">
        <v>14860.59</v>
      </c>
      <c r="K512" s="54">
        <v>56.741900000000001</v>
      </c>
      <c r="L512" s="61">
        <f t="shared" si="51"/>
        <v>261.897997775894</v>
      </c>
      <c r="M512" s="54">
        <v>48</v>
      </c>
      <c r="N512" s="58">
        <f t="shared" si="60"/>
        <v>309.59562499999998</v>
      </c>
      <c r="O512" s="38">
        <f t="shared" ca="1" si="59"/>
        <v>25</v>
      </c>
      <c r="P512" s="36">
        <f t="shared" ca="1" si="61"/>
        <v>7120.6993750000001</v>
      </c>
      <c r="Q512" s="36">
        <f t="shared" ca="1" si="62"/>
        <v>7120.6993750000001</v>
      </c>
      <c r="R512" s="637" t="s">
        <v>3893</v>
      </c>
    </row>
    <row r="513" spans="2:18" s="4" customFormat="1" ht="107.25" customHeight="1" x14ac:dyDescent="0.25">
      <c r="B513" s="24">
        <v>44551</v>
      </c>
      <c r="C513" s="24" t="s">
        <v>2351</v>
      </c>
      <c r="D513" s="54" t="s">
        <v>3890</v>
      </c>
      <c r="E513" s="26" t="s">
        <v>3957</v>
      </c>
      <c r="F513" s="65" t="s">
        <v>3958</v>
      </c>
      <c r="G513" s="54" t="s">
        <v>28</v>
      </c>
      <c r="H513" s="26" t="s">
        <v>60</v>
      </c>
      <c r="I513" s="54" t="s">
        <v>19</v>
      </c>
      <c r="J513" s="54">
        <v>1175.83</v>
      </c>
      <c r="K513" s="54">
        <v>56.741900000000001</v>
      </c>
      <c r="L513" s="61">
        <f t="shared" si="51"/>
        <v>20.722429104418428</v>
      </c>
      <c r="M513" s="54">
        <v>48</v>
      </c>
      <c r="N513" s="58">
        <f t="shared" si="60"/>
        <v>24.496458333333333</v>
      </c>
      <c r="O513" s="38">
        <f t="shared" ref="O513:O524" ca="1" si="63">IF(B513&lt;&gt;0,(ROUND((NOW()-B513)/30,0)),0)</f>
        <v>25</v>
      </c>
      <c r="P513" s="36">
        <f t="shared" ca="1" si="61"/>
        <v>563.41854166666656</v>
      </c>
      <c r="Q513" s="36">
        <f t="shared" ca="1" si="62"/>
        <v>563.41854166666656</v>
      </c>
      <c r="R513" s="637" t="s">
        <v>3893</v>
      </c>
    </row>
    <row r="514" spans="2:18" s="4" customFormat="1" ht="107.25" customHeight="1" x14ac:dyDescent="0.25">
      <c r="B514" s="24">
        <v>44551</v>
      </c>
      <c r="C514" s="24" t="s">
        <v>2351</v>
      </c>
      <c r="D514" s="54" t="s">
        <v>3890</v>
      </c>
      <c r="E514" s="26" t="s">
        <v>3959</v>
      </c>
      <c r="F514" s="65" t="s">
        <v>3958</v>
      </c>
      <c r="G514" s="54" t="s">
        <v>28</v>
      </c>
      <c r="H514" s="26" t="s">
        <v>60</v>
      </c>
      <c r="I514" s="54" t="s">
        <v>19</v>
      </c>
      <c r="J514" s="54">
        <v>1175.83</v>
      </c>
      <c r="K514" s="54">
        <v>56.741900000000001</v>
      </c>
      <c r="L514" s="61">
        <f t="shared" si="51"/>
        <v>20.722429104418428</v>
      </c>
      <c r="M514" s="54">
        <v>48</v>
      </c>
      <c r="N514" s="58">
        <f t="shared" si="60"/>
        <v>24.496458333333333</v>
      </c>
      <c r="O514" s="38">
        <f t="shared" ca="1" si="63"/>
        <v>25</v>
      </c>
      <c r="P514" s="36">
        <f t="shared" ca="1" si="61"/>
        <v>563.41854166666656</v>
      </c>
      <c r="Q514" s="36">
        <f t="shared" ca="1" si="62"/>
        <v>563.41854166666656</v>
      </c>
      <c r="R514" s="637" t="s">
        <v>3893</v>
      </c>
    </row>
    <row r="515" spans="2:18" s="4" customFormat="1" ht="107.25" customHeight="1" x14ac:dyDescent="0.25">
      <c r="B515" s="24">
        <v>44551</v>
      </c>
      <c r="C515" s="24" t="s">
        <v>2351</v>
      </c>
      <c r="D515" s="54" t="s">
        <v>3890</v>
      </c>
      <c r="E515" s="26" t="s">
        <v>3960</v>
      </c>
      <c r="F515" s="65" t="s">
        <v>3958</v>
      </c>
      <c r="G515" s="54" t="s">
        <v>28</v>
      </c>
      <c r="H515" s="26" t="s">
        <v>60</v>
      </c>
      <c r="I515" s="54" t="s">
        <v>19</v>
      </c>
      <c r="J515" s="54">
        <v>1175.83</v>
      </c>
      <c r="K515" s="54">
        <v>56.741900000000001</v>
      </c>
      <c r="L515" s="61">
        <f t="shared" si="51"/>
        <v>20.722429104418428</v>
      </c>
      <c r="M515" s="54">
        <v>48</v>
      </c>
      <c r="N515" s="58">
        <f t="shared" si="60"/>
        <v>24.496458333333333</v>
      </c>
      <c r="O515" s="38">
        <f t="shared" ca="1" si="63"/>
        <v>25</v>
      </c>
      <c r="P515" s="36">
        <f t="shared" ca="1" si="61"/>
        <v>563.41854166666656</v>
      </c>
      <c r="Q515" s="36">
        <f t="shared" ca="1" si="62"/>
        <v>563.41854166666656</v>
      </c>
      <c r="R515" s="637" t="s">
        <v>3893</v>
      </c>
    </row>
    <row r="516" spans="2:18" s="4" customFormat="1" ht="107.25" customHeight="1" x14ac:dyDescent="0.25">
      <c r="B516" s="24">
        <v>44551</v>
      </c>
      <c r="C516" s="24" t="s">
        <v>2351</v>
      </c>
      <c r="D516" s="54" t="s">
        <v>3890</v>
      </c>
      <c r="E516" s="26" t="s">
        <v>3961</v>
      </c>
      <c r="F516" s="65" t="s">
        <v>3958</v>
      </c>
      <c r="G516" s="54" t="s">
        <v>28</v>
      </c>
      <c r="H516" s="26" t="s">
        <v>60</v>
      </c>
      <c r="I516" s="54" t="s">
        <v>19</v>
      </c>
      <c r="J516" s="54">
        <v>1175.83</v>
      </c>
      <c r="K516" s="54">
        <v>56.741900000000001</v>
      </c>
      <c r="L516" s="61">
        <f t="shared" si="51"/>
        <v>20.722429104418428</v>
      </c>
      <c r="M516" s="54">
        <v>48</v>
      </c>
      <c r="N516" s="58">
        <f t="shared" si="60"/>
        <v>24.496458333333333</v>
      </c>
      <c r="O516" s="38">
        <f t="shared" ca="1" si="63"/>
        <v>25</v>
      </c>
      <c r="P516" s="36">
        <f t="shared" ca="1" si="61"/>
        <v>563.41854166666656</v>
      </c>
      <c r="Q516" s="36">
        <f t="shared" ca="1" si="62"/>
        <v>563.41854166666656</v>
      </c>
      <c r="R516" s="637" t="s">
        <v>3893</v>
      </c>
    </row>
    <row r="517" spans="2:18" s="4" customFormat="1" ht="107.25" customHeight="1" x14ac:dyDescent="0.25">
      <c r="B517" s="24">
        <v>44551</v>
      </c>
      <c r="C517" s="24" t="s">
        <v>2351</v>
      </c>
      <c r="D517" s="54" t="s">
        <v>3890</v>
      </c>
      <c r="E517" s="26" t="s">
        <v>3962</v>
      </c>
      <c r="F517" s="65" t="s">
        <v>3958</v>
      </c>
      <c r="G517" s="54" t="s">
        <v>28</v>
      </c>
      <c r="H517" s="26" t="s">
        <v>60</v>
      </c>
      <c r="I517" s="54" t="s">
        <v>19</v>
      </c>
      <c r="J517" s="54">
        <v>1175.83</v>
      </c>
      <c r="K517" s="54">
        <v>56.741900000000001</v>
      </c>
      <c r="L517" s="61">
        <f t="shared" si="51"/>
        <v>20.722429104418428</v>
      </c>
      <c r="M517" s="54">
        <v>48</v>
      </c>
      <c r="N517" s="58">
        <f t="shared" si="60"/>
        <v>24.496458333333333</v>
      </c>
      <c r="O517" s="38">
        <f t="shared" ca="1" si="63"/>
        <v>25</v>
      </c>
      <c r="P517" s="36">
        <f t="shared" ca="1" si="61"/>
        <v>563.41854166666656</v>
      </c>
      <c r="Q517" s="36">
        <f t="shared" ca="1" si="62"/>
        <v>563.41854166666656</v>
      </c>
      <c r="R517" s="637" t="s">
        <v>3893</v>
      </c>
    </row>
    <row r="518" spans="2:18" s="4" customFormat="1" ht="107.25" customHeight="1" x14ac:dyDescent="0.25">
      <c r="B518" s="24">
        <v>44551</v>
      </c>
      <c r="C518" s="24" t="s">
        <v>2351</v>
      </c>
      <c r="D518" s="54" t="s">
        <v>3890</v>
      </c>
      <c r="E518" s="26" t="s">
        <v>3963</v>
      </c>
      <c r="F518" s="65" t="s">
        <v>3958</v>
      </c>
      <c r="G518" s="54" t="s">
        <v>28</v>
      </c>
      <c r="H518" s="26" t="s">
        <v>60</v>
      </c>
      <c r="I518" s="54" t="s">
        <v>19</v>
      </c>
      <c r="J518" s="54">
        <v>1175.83</v>
      </c>
      <c r="K518" s="54">
        <v>56.741900000000001</v>
      </c>
      <c r="L518" s="61">
        <f t="shared" si="51"/>
        <v>20.722429104418428</v>
      </c>
      <c r="M518" s="54">
        <v>48</v>
      </c>
      <c r="N518" s="58">
        <f t="shared" ref="N518:N524" si="64">J518/M518</f>
        <v>24.496458333333333</v>
      </c>
      <c r="O518" s="38">
        <f t="shared" ca="1" si="63"/>
        <v>25</v>
      </c>
      <c r="P518" s="36">
        <f t="shared" ca="1" si="61"/>
        <v>563.41854166666656</v>
      </c>
      <c r="Q518" s="36">
        <f t="shared" ca="1" si="62"/>
        <v>563.41854166666656</v>
      </c>
      <c r="R518" s="637" t="s">
        <v>3893</v>
      </c>
    </row>
    <row r="519" spans="2:18" s="4" customFormat="1" ht="107.25" customHeight="1" x14ac:dyDescent="0.25">
      <c r="B519" s="24">
        <v>44551</v>
      </c>
      <c r="C519" s="24" t="s">
        <v>2351</v>
      </c>
      <c r="D519" s="54" t="s">
        <v>3890</v>
      </c>
      <c r="E519" s="26" t="s">
        <v>3964</v>
      </c>
      <c r="F519" s="65" t="s">
        <v>3958</v>
      </c>
      <c r="G519" s="54" t="s">
        <v>28</v>
      </c>
      <c r="H519" s="26" t="s">
        <v>60</v>
      </c>
      <c r="I519" s="54" t="s">
        <v>19</v>
      </c>
      <c r="J519" s="54">
        <v>1175.83</v>
      </c>
      <c r="K519" s="54">
        <v>56.741900000000001</v>
      </c>
      <c r="L519" s="61">
        <f t="shared" si="51"/>
        <v>20.722429104418428</v>
      </c>
      <c r="M519" s="54">
        <v>48</v>
      </c>
      <c r="N519" s="58">
        <f t="shared" si="64"/>
        <v>24.496458333333333</v>
      </c>
      <c r="O519" s="38">
        <f t="shared" ca="1" si="63"/>
        <v>25</v>
      </c>
      <c r="P519" s="36">
        <f t="shared" ca="1" si="61"/>
        <v>563.41854166666656</v>
      </c>
      <c r="Q519" s="36">
        <f t="shared" ca="1" si="62"/>
        <v>563.41854166666656</v>
      </c>
      <c r="R519" s="637" t="s">
        <v>3893</v>
      </c>
    </row>
    <row r="520" spans="2:18" s="4" customFormat="1" ht="107.25" customHeight="1" x14ac:dyDescent="0.25">
      <c r="B520" s="24">
        <v>44551</v>
      </c>
      <c r="C520" s="24" t="s">
        <v>2351</v>
      </c>
      <c r="D520" s="54" t="s">
        <v>3890</v>
      </c>
      <c r="E520" s="26" t="s">
        <v>3965</v>
      </c>
      <c r="F520" s="65" t="s">
        <v>3958</v>
      </c>
      <c r="G520" s="54" t="s">
        <v>28</v>
      </c>
      <c r="H520" s="26" t="s">
        <v>60</v>
      </c>
      <c r="I520" s="54" t="s">
        <v>19</v>
      </c>
      <c r="J520" s="54">
        <v>1175.83</v>
      </c>
      <c r="K520" s="54">
        <v>56.741900000000001</v>
      </c>
      <c r="L520" s="61">
        <f t="shared" si="51"/>
        <v>20.722429104418428</v>
      </c>
      <c r="M520" s="54">
        <v>48</v>
      </c>
      <c r="N520" s="58">
        <f t="shared" si="64"/>
        <v>24.496458333333333</v>
      </c>
      <c r="O520" s="38">
        <f t="shared" ca="1" si="63"/>
        <v>25</v>
      </c>
      <c r="P520" s="36">
        <f t="shared" ca="1" si="61"/>
        <v>563.41854166666656</v>
      </c>
      <c r="Q520" s="36">
        <f t="shared" ca="1" si="62"/>
        <v>563.41854166666656</v>
      </c>
      <c r="R520" s="637" t="s">
        <v>3893</v>
      </c>
    </row>
    <row r="521" spans="2:18" s="4" customFormat="1" ht="107.25" customHeight="1" x14ac:dyDescent="0.25">
      <c r="B521" s="24">
        <v>44551</v>
      </c>
      <c r="C521" s="24" t="s">
        <v>2351</v>
      </c>
      <c r="D521" s="54" t="s">
        <v>3890</v>
      </c>
      <c r="E521" s="26" t="s">
        <v>3966</v>
      </c>
      <c r="F521" s="65" t="s">
        <v>3958</v>
      </c>
      <c r="G521" s="54" t="s">
        <v>28</v>
      </c>
      <c r="H521" s="26" t="s">
        <v>60</v>
      </c>
      <c r="I521" s="54" t="s">
        <v>19</v>
      </c>
      <c r="J521" s="54">
        <v>1175.83</v>
      </c>
      <c r="K521" s="54">
        <v>56.741900000000001</v>
      </c>
      <c r="L521" s="61">
        <f t="shared" si="51"/>
        <v>20.722429104418428</v>
      </c>
      <c r="M521" s="54">
        <v>48</v>
      </c>
      <c r="N521" s="58">
        <f t="shared" si="64"/>
        <v>24.496458333333333</v>
      </c>
      <c r="O521" s="38">
        <f t="shared" ca="1" si="63"/>
        <v>25</v>
      </c>
      <c r="P521" s="36">
        <f t="shared" ref="P521:P584" ca="1" si="65">IF(OR(J521=0,M521=0,O521=0),0,J521-(N521*O521))</f>
        <v>563.41854166666656</v>
      </c>
      <c r="Q521" s="36">
        <f t="shared" ca="1" si="62"/>
        <v>563.41854166666656</v>
      </c>
      <c r="R521" s="637" t="s">
        <v>3893</v>
      </c>
    </row>
    <row r="522" spans="2:18" s="4" customFormat="1" ht="107.25" customHeight="1" x14ac:dyDescent="0.25">
      <c r="B522" s="24">
        <v>44551</v>
      </c>
      <c r="C522" s="24" t="s">
        <v>2351</v>
      </c>
      <c r="D522" s="54" t="s">
        <v>3890</v>
      </c>
      <c r="E522" s="26" t="s">
        <v>3967</v>
      </c>
      <c r="F522" s="65" t="s">
        <v>3958</v>
      </c>
      <c r="G522" s="54" t="s">
        <v>28</v>
      </c>
      <c r="H522" s="26" t="s">
        <v>60</v>
      </c>
      <c r="I522" s="54" t="s">
        <v>19</v>
      </c>
      <c r="J522" s="54">
        <v>1175.83</v>
      </c>
      <c r="K522" s="54">
        <v>56.741900000000001</v>
      </c>
      <c r="L522" s="61">
        <f t="shared" si="51"/>
        <v>20.722429104418428</v>
      </c>
      <c r="M522" s="54">
        <v>48</v>
      </c>
      <c r="N522" s="58">
        <f t="shared" si="64"/>
        <v>24.496458333333333</v>
      </c>
      <c r="O522" s="38">
        <f t="shared" ca="1" si="63"/>
        <v>25</v>
      </c>
      <c r="P522" s="36">
        <f t="shared" ca="1" si="65"/>
        <v>563.41854166666656</v>
      </c>
      <c r="Q522" s="36">
        <f t="shared" ca="1" si="62"/>
        <v>563.41854166666656</v>
      </c>
      <c r="R522" s="637" t="s">
        <v>3893</v>
      </c>
    </row>
    <row r="523" spans="2:18" s="4" customFormat="1" ht="107.25" customHeight="1" x14ac:dyDescent="0.25">
      <c r="B523" s="24">
        <v>44551</v>
      </c>
      <c r="C523" s="24" t="s">
        <v>2351</v>
      </c>
      <c r="D523" s="54" t="s">
        <v>3890</v>
      </c>
      <c r="E523" s="26" t="s">
        <v>3968</v>
      </c>
      <c r="F523" s="54" t="s">
        <v>3969</v>
      </c>
      <c r="G523" s="54" t="s">
        <v>28</v>
      </c>
      <c r="H523" s="26" t="s">
        <v>60</v>
      </c>
      <c r="I523" s="54" t="s">
        <v>19</v>
      </c>
      <c r="J523" s="54">
        <v>6686.73</v>
      </c>
      <c r="K523" s="54">
        <v>56.741900000000001</v>
      </c>
      <c r="L523" s="61">
        <f t="shared" si="51"/>
        <v>117.84466152878207</v>
      </c>
      <c r="M523" s="54">
        <v>48</v>
      </c>
      <c r="N523" s="58">
        <f t="shared" si="64"/>
        <v>139.30687499999999</v>
      </c>
      <c r="O523" s="38">
        <f t="shared" ca="1" si="63"/>
        <v>25</v>
      </c>
      <c r="P523" s="36">
        <f t="shared" ca="1" si="65"/>
        <v>3204.0581249999996</v>
      </c>
      <c r="Q523" s="36">
        <f t="shared" ca="1" si="62"/>
        <v>3204.0581249999996</v>
      </c>
      <c r="R523" s="637" t="s">
        <v>3893</v>
      </c>
    </row>
    <row r="524" spans="2:18" s="4" customFormat="1" ht="107.25" customHeight="1" x14ac:dyDescent="0.25">
      <c r="B524" s="24">
        <v>44551</v>
      </c>
      <c r="C524" s="24" t="s">
        <v>2351</v>
      </c>
      <c r="D524" s="54" t="s">
        <v>3890</v>
      </c>
      <c r="E524" s="26" t="s">
        <v>3970</v>
      </c>
      <c r="F524" s="54" t="s">
        <v>3971</v>
      </c>
      <c r="G524" s="54" t="s">
        <v>28</v>
      </c>
      <c r="H524" s="26" t="s">
        <v>60</v>
      </c>
      <c r="I524" s="54" t="s">
        <v>19</v>
      </c>
      <c r="J524" s="54">
        <v>3185</v>
      </c>
      <c r="K524" s="54">
        <v>56.741900000000001</v>
      </c>
      <c r="L524" s="61">
        <f t="shared" si="51"/>
        <v>56.131359718303408</v>
      </c>
      <c r="M524" s="54">
        <v>48</v>
      </c>
      <c r="N524" s="58">
        <f t="shared" si="64"/>
        <v>66.354166666666671</v>
      </c>
      <c r="O524" s="38">
        <f t="shared" ca="1" si="63"/>
        <v>25</v>
      </c>
      <c r="P524" s="36">
        <f t="shared" ca="1" si="65"/>
        <v>1526.1458333333333</v>
      </c>
      <c r="Q524" s="36">
        <f t="shared" ca="1" si="62"/>
        <v>1526.1458333333333</v>
      </c>
      <c r="R524" s="637" t="s">
        <v>3893</v>
      </c>
    </row>
    <row r="525" spans="2:18" s="4" customFormat="1" ht="107.25" customHeight="1" x14ac:dyDescent="0.25">
      <c r="B525" s="620">
        <v>44607</v>
      </c>
      <c r="C525" s="621"/>
      <c r="D525" s="622" t="s">
        <v>3978</v>
      </c>
      <c r="E525" s="622" t="s">
        <v>4451</v>
      </c>
      <c r="F525" s="623" t="s">
        <v>3979</v>
      </c>
      <c r="G525" s="622" t="s">
        <v>18</v>
      </c>
      <c r="H525" s="622" t="s">
        <v>4424</v>
      </c>
      <c r="I525" s="624" t="s">
        <v>4128</v>
      </c>
      <c r="J525" s="625">
        <v>64634.5</v>
      </c>
      <c r="K525" s="625">
        <v>56.690399999999997</v>
      </c>
      <c r="L525" s="626">
        <f t="shared" ref="L525:L588" si="66">+J525/K525</f>
        <v>1140.1313097102861</v>
      </c>
      <c r="M525" s="627">
        <v>60</v>
      </c>
      <c r="N525" s="628">
        <f t="shared" ref="N525:N562" si="67">+J525/M525</f>
        <v>1077.2416666666666</v>
      </c>
      <c r="O525" s="629">
        <f t="shared" ref="O525:O588" ca="1" si="68">IF(C525&lt;&gt;0,(ROUND((NOW()-C525)/30,0)),0)</f>
        <v>0</v>
      </c>
      <c r="P525" s="36">
        <f t="shared" ca="1" si="65"/>
        <v>0</v>
      </c>
      <c r="Q525" s="469">
        <f t="shared" ca="1" si="62"/>
        <v>1</v>
      </c>
      <c r="R525" s="638" t="s">
        <v>3980</v>
      </c>
    </row>
    <row r="526" spans="2:18" s="4" customFormat="1" ht="107.25" customHeight="1" x14ac:dyDescent="0.25">
      <c r="B526" s="620">
        <v>44607</v>
      </c>
      <c r="C526" s="621"/>
      <c r="D526" s="622" t="s">
        <v>3978</v>
      </c>
      <c r="E526" s="622" t="s">
        <v>4452</v>
      </c>
      <c r="F526" s="623" t="s">
        <v>3979</v>
      </c>
      <c r="G526" s="622" t="s">
        <v>18</v>
      </c>
      <c r="H526" s="622" t="s">
        <v>4424</v>
      </c>
      <c r="I526" s="624" t="s">
        <v>4128</v>
      </c>
      <c r="J526" s="625">
        <v>64634.5</v>
      </c>
      <c r="K526" s="625">
        <v>56.690399999999997</v>
      </c>
      <c r="L526" s="626">
        <f t="shared" si="66"/>
        <v>1140.1313097102861</v>
      </c>
      <c r="M526" s="627">
        <v>60</v>
      </c>
      <c r="N526" s="628">
        <f t="shared" si="67"/>
        <v>1077.2416666666666</v>
      </c>
      <c r="O526" s="629">
        <f t="shared" ca="1" si="68"/>
        <v>0</v>
      </c>
      <c r="P526" s="36">
        <f t="shared" ca="1" si="65"/>
        <v>0</v>
      </c>
      <c r="Q526" s="469">
        <f t="shared" ca="1" si="62"/>
        <v>1</v>
      </c>
      <c r="R526" s="638" t="s">
        <v>3980</v>
      </c>
    </row>
    <row r="527" spans="2:18" s="4" customFormat="1" ht="107.25" customHeight="1" x14ac:dyDescent="0.25">
      <c r="B527" s="620">
        <v>44607</v>
      </c>
      <c r="C527" s="621"/>
      <c r="D527" s="622" t="s">
        <v>3978</v>
      </c>
      <c r="E527" s="622" t="s">
        <v>4453</v>
      </c>
      <c r="F527" s="623" t="s">
        <v>3979</v>
      </c>
      <c r="G527" s="622" t="s">
        <v>18</v>
      </c>
      <c r="H527" s="622" t="s">
        <v>4424</v>
      </c>
      <c r="I527" s="624" t="s">
        <v>4128</v>
      </c>
      <c r="J527" s="625">
        <v>64634.5</v>
      </c>
      <c r="K527" s="625">
        <v>56.690399999999997</v>
      </c>
      <c r="L527" s="626">
        <f t="shared" si="66"/>
        <v>1140.1313097102861</v>
      </c>
      <c r="M527" s="627">
        <v>60</v>
      </c>
      <c r="N527" s="628">
        <f t="shared" si="67"/>
        <v>1077.2416666666666</v>
      </c>
      <c r="O527" s="629">
        <f t="shared" ca="1" si="68"/>
        <v>0</v>
      </c>
      <c r="P527" s="36">
        <f t="shared" ca="1" si="65"/>
        <v>0</v>
      </c>
      <c r="Q527" s="469">
        <f t="shared" ca="1" si="62"/>
        <v>1</v>
      </c>
      <c r="R527" s="638" t="s">
        <v>3980</v>
      </c>
    </row>
    <row r="528" spans="2:18" s="4" customFormat="1" ht="107.25" customHeight="1" x14ac:dyDescent="0.25">
      <c r="B528" s="620">
        <v>44607</v>
      </c>
      <c r="C528" s="621"/>
      <c r="D528" s="622" t="s">
        <v>3978</v>
      </c>
      <c r="E528" s="622" t="s">
        <v>4454</v>
      </c>
      <c r="F528" s="623" t="s">
        <v>4455</v>
      </c>
      <c r="G528" s="622" t="s">
        <v>18</v>
      </c>
      <c r="H528" s="622" t="s">
        <v>4424</v>
      </c>
      <c r="I528" s="624" t="s">
        <v>4128</v>
      </c>
      <c r="J528" s="625">
        <v>26491</v>
      </c>
      <c r="K528" s="625">
        <v>56.690399999999997</v>
      </c>
      <c r="L528" s="626">
        <f t="shared" si="66"/>
        <v>467.29252219070605</v>
      </c>
      <c r="M528" s="627">
        <v>60</v>
      </c>
      <c r="N528" s="628">
        <f t="shared" si="67"/>
        <v>441.51666666666665</v>
      </c>
      <c r="O528" s="629">
        <f t="shared" ca="1" si="68"/>
        <v>0</v>
      </c>
      <c r="P528" s="36">
        <f t="shared" ca="1" si="65"/>
        <v>0</v>
      </c>
      <c r="Q528" s="469">
        <f t="shared" ca="1" si="62"/>
        <v>1</v>
      </c>
      <c r="R528" s="638" t="s">
        <v>3980</v>
      </c>
    </row>
    <row r="529" spans="2:18" s="4" customFormat="1" ht="107.25" customHeight="1" x14ac:dyDescent="0.25">
      <c r="B529" s="620">
        <v>44607</v>
      </c>
      <c r="C529" s="621"/>
      <c r="D529" s="622" t="s">
        <v>3978</v>
      </c>
      <c r="E529" s="622" t="s">
        <v>4456</v>
      </c>
      <c r="F529" s="623" t="s">
        <v>4455</v>
      </c>
      <c r="G529" s="622" t="s">
        <v>18</v>
      </c>
      <c r="H529" s="622" t="s">
        <v>4424</v>
      </c>
      <c r="I529" s="624" t="s">
        <v>4128</v>
      </c>
      <c r="J529" s="625">
        <v>26491</v>
      </c>
      <c r="K529" s="625">
        <v>56.690399999999997</v>
      </c>
      <c r="L529" s="626">
        <f t="shared" si="66"/>
        <v>467.29252219070605</v>
      </c>
      <c r="M529" s="627">
        <v>60</v>
      </c>
      <c r="N529" s="628">
        <f t="shared" si="67"/>
        <v>441.51666666666665</v>
      </c>
      <c r="O529" s="629">
        <f t="shared" ca="1" si="68"/>
        <v>0</v>
      </c>
      <c r="P529" s="36">
        <f t="shared" ca="1" si="65"/>
        <v>0</v>
      </c>
      <c r="Q529" s="469">
        <f t="shared" ca="1" si="62"/>
        <v>1</v>
      </c>
      <c r="R529" s="638" t="s">
        <v>3980</v>
      </c>
    </row>
    <row r="530" spans="2:18" s="4" customFormat="1" ht="107.25" customHeight="1" x14ac:dyDescent="0.25">
      <c r="B530" s="620">
        <v>44607</v>
      </c>
      <c r="C530" s="621"/>
      <c r="D530" s="622" t="s">
        <v>3978</v>
      </c>
      <c r="E530" s="622" t="s">
        <v>4457</v>
      </c>
      <c r="F530" s="623" t="s">
        <v>4455</v>
      </c>
      <c r="G530" s="622" t="s">
        <v>18</v>
      </c>
      <c r="H530" s="622" t="s">
        <v>4424</v>
      </c>
      <c r="I530" s="624" t="s">
        <v>4128</v>
      </c>
      <c r="J530" s="625">
        <v>26491</v>
      </c>
      <c r="K530" s="625">
        <v>56.690399999999997</v>
      </c>
      <c r="L530" s="626">
        <f t="shared" si="66"/>
        <v>467.29252219070605</v>
      </c>
      <c r="M530" s="627">
        <v>60</v>
      </c>
      <c r="N530" s="628">
        <f t="shared" si="67"/>
        <v>441.51666666666665</v>
      </c>
      <c r="O530" s="629">
        <f t="shared" ca="1" si="68"/>
        <v>0</v>
      </c>
      <c r="P530" s="36">
        <f t="shared" ca="1" si="65"/>
        <v>0</v>
      </c>
      <c r="Q530" s="469">
        <f t="shared" ca="1" si="62"/>
        <v>1</v>
      </c>
      <c r="R530" s="638" t="s">
        <v>3980</v>
      </c>
    </row>
    <row r="531" spans="2:18" s="4" customFormat="1" ht="107.25" customHeight="1" x14ac:dyDescent="0.25">
      <c r="B531" s="620">
        <v>44607</v>
      </c>
      <c r="C531" s="621"/>
      <c r="D531" s="622" t="s">
        <v>3978</v>
      </c>
      <c r="E531" s="622" t="s">
        <v>4458</v>
      </c>
      <c r="F531" s="623" t="s">
        <v>3981</v>
      </c>
      <c r="G531" s="622" t="s">
        <v>18</v>
      </c>
      <c r="H531" s="622" t="s">
        <v>4424</v>
      </c>
      <c r="I531" s="624" t="s">
        <v>4128</v>
      </c>
      <c r="J531" s="625">
        <v>10885.5</v>
      </c>
      <c r="K531" s="625">
        <v>56.690399999999997</v>
      </c>
      <c r="L531" s="626">
        <f t="shared" si="66"/>
        <v>192.01663773760637</v>
      </c>
      <c r="M531" s="627">
        <v>60</v>
      </c>
      <c r="N531" s="628">
        <f t="shared" si="67"/>
        <v>181.42500000000001</v>
      </c>
      <c r="O531" s="629">
        <f t="shared" ca="1" si="68"/>
        <v>0</v>
      </c>
      <c r="P531" s="36">
        <f t="shared" ca="1" si="65"/>
        <v>0</v>
      </c>
      <c r="Q531" s="469">
        <f t="shared" ca="1" si="62"/>
        <v>1</v>
      </c>
      <c r="R531" s="638" t="s">
        <v>3980</v>
      </c>
    </row>
    <row r="532" spans="2:18" s="4" customFormat="1" ht="107.25" customHeight="1" x14ac:dyDescent="0.25">
      <c r="B532" s="620">
        <v>44607</v>
      </c>
      <c r="C532" s="621"/>
      <c r="D532" s="622" t="s">
        <v>3978</v>
      </c>
      <c r="E532" s="622" t="s">
        <v>4459</v>
      </c>
      <c r="F532" s="623" t="s">
        <v>3981</v>
      </c>
      <c r="G532" s="622" t="s">
        <v>18</v>
      </c>
      <c r="H532" s="622" t="s">
        <v>4424</v>
      </c>
      <c r="I532" s="624" t="s">
        <v>4128</v>
      </c>
      <c r="J532" s="625">
        <v>10885.5</v>
      </c>
      <c r="K532" s="625">
        <v>56.690399999999997</v>
      </c>
      <c r="L532" s="626">
        <f t="shared" si="66"/>
        <v>192.01663773760637</v>
      </c>
      <c r="M532" s="627">
        <v>60</v>
      </c>
      <c r="N532" s="628">
        <f t="shared" si="67"/>
        <v>181.42500000000001</v>
      </c>
      <c r="O532" s="629">
        <f t="shared" ca="1" si="68"/>
        <v>0</v>
      </c>
      <c r="P532" s="36">
        <f t="shared" ca="1" si="65"/>
        <v>0</v>
      </c>
      <c r="Q532" s="469">
        <f t="shared" ca="1" si="62"/>
        <v>1</v>
      </c>
      <c r="R532" s="638" t="s">
        <v>3980</v>
      </c>
    </row>
    <row r="533" spans="2:18" s="4" customFormat="1" ht="107.25" customHeight="1" x14ac:dyDescent="0.25">
      <c r="B533" s="620">
        <v>44607</v>
      </c>
      <c r="C533" s="621"/>
      <c r="D533" s="622" t="s">
        <v>3978</v>
      </c>
      <c r="E533" s="622" t="s">
        <v>4460</v>
      </c>
      <c r="F533" s="623" t="s">
        <v>3981</v>
      </c>
      <c r="G533" s="622" t="s">
        <v>18</v>
      </c>
      <c r="H533" s="622" t="s">
        <v>4424</v>
      </c>
      <c r="I533" s="624" t="s">
        <v>4128</v>
      </c>
      <c r="J533" s="625">
        <v>10885.5</v>
      </c>
      <c r="K533" s="625">
        <v>56.690399999999997</v>
      </c>
      <c r="L533" s="626">
        <f t="shared" si="66"/>
        <v>192.01663773760637</v>
      </c>
      <c r="M533" s="627">
        <v>60</v>
      </c>
      <c r="N533" s="628">
        <f t="shared" si="67"/>
        <v>181.42500000000001</v>
      </c>
      <c r="O533" s="629">
        <f t="shared" ca="1" si="68"/>
        <v>0</v>
      </c>
      <c r="P533" s="36">
        <f t="shared" ca="1" si="65"/>
        <v>0</v>
      </c>
      <c r="Q533" s="469">
        <f t="shared" ca="1" si="62"/>
        <v>1</v>
      </c>
      <c r="R533" s="638" t="s">
        <v>3980</v>
      </c>
    </row>
    <row r="534" spans="2:18" s="4" customFormat="1" ht="107.25" customHeight="1" x14ac:dyDescent="0.25">
      <c r="B534" s="620">
        <v>44607</v>
      </c>
      <c r="C534" s="621"/>
      <c r="D534" s="622" t="s">
        <v>3978</v>
      </c>
      <c r="E534" s="622" t="s">
        <v>4461</v>
      </c>
      <c r="F534" s="623" t="s">
        <v>3982</v>
      </c>
      <c r="G534" s="622" t="s">
        <v>18</v>
      </c>
      <c r="H534" s="622" t="s">
        <v>4424</v>
      </c>
      <c r="I534" s="624" t="s">
        <v>4128</v>
      </c>
      <c r="J534" s="625">
        <v>32450</v>
      </c>
      <c r="K534" s="625">
        <v>56.690399999999997</v>
      </c>
      <c r="L534" s="626">
        <f t="shared" si="66"/>
        <v>572.40732116901631</v>
      </c>
      <c r="M534" s="627">
        <v>60</v>
      </c>
      <c r="N534" s="628">
        <f t="shared" si="67"/>
        <v>540.83333333333337</v>
      </c>
      <c r="O534" s="629">
        <f t="shared" ca="1" si="68"/>
        <v>0</v>
      </c>
      <c r="P534" s="36">
        <f t="shared" ca="1" si="65"/>
        <v>0</v>
      </c>
      <c r="Q534" s="469">
        <f t="shared" ca="1" si="62"/>
        <v>1</v>
      </c>
      <c r="R534" s="638" t="s">
        <v>3980</v>
      </c>
    </row>
    <row r="535" spans="2:18" s="4" customFormat="1" ht="107.25" customHeight="1" x14ac:dyDescent="0.25">
      <c r="B535" s="620">
        <v>44607</v>
      </c>
      <c r="C535" s="621"/>
      <c r="D535" s="622" t="s">
        <v>3978</v>
      </c>
      <c r="E535" s="622" t="s">
        <v>4462</v>
      </c>
      <c r="F535" s="623" t="s">
        <v>4463</v>
      </c>
      <c r="G535" s="622" t="s">
        <v>18</v>
      </c>
      <c r="H535" s="622" t="s">
        <v>4424</v>
      </c>
      <c r="I535" s="624" t="s">
        <v>4128</v>
      </c>
      <c r="J535" s="625">
        <v>3422</v>
      </c>
      <c r="K535" s="625">
        <v>56.690399999999997</v>
      </c>
      <c r="L535" s="626">
        <f t="shared" si="66"/>
        <v>60.362953868732632</v>
      </c>
      <c r="M535" s="627">
        <v>60</v>
      </c>
      <c r="N535" s="628">
        <f t="shared" si="67"/>
        <v>57.033333333333331</v>
      </c>
      <c r="O535" s="629">
        <f t="shared" ca="1" si="68"/>
        <v>0</v>
      </c>
      <c r="P535" s="36">
        <f t="shared" ca="1" si="65"/>
        <v>0</v>
      </c>
      <c r="Q535" s="469">
        <f t="shared" ca="1" si="62"/>
        <v>1</v>
      </c>
      <c r="R535" s="638" t="s">
        <v>3980</v>
      </c>
    </row>
    <row r="536" spans="2:18" s="4" customFormat="1" ht="107.25" customHeight="1" x14ac:dyDescent="0.25">
      <c r="B536" s="620">
        <v>44607</v>
      </c>
      <c r="C536" s="621"/>
      <c r="D536" s="622" t="s">
        <v>3978</v>
      </c>
      <c r="E536" s="622" t="s">
        <v>4464</v>
      </c>
      <c r="F536" s="623" t="s">
        <v>3983</v>
      </c>
      <c r="G536" s="622" t="s">
        <v>18</v>
      </c>
      <c r="H536" s="622" t="s">
        <v>4424</v>
      </c>
      <c r="I536" s="624" t="s">
        <v>4128</v>
      </c>
      <c r="J536" s="625">
        <v>16667.5</v>
      </c>
      <c r="K536" s="625">
        <v>56.690399999999997</v>
      </c>
      <c r="L536" s="626">
        <f t="shared" si="66"/>
        <v>294.00921496408563</v>
      </c>
      <c r="M536" s="627">
        <v>60</v>
      </c>
      <c r="N536" s="628">
        <f t="shared" si="67"/>
        <v>277.79166666666669</v>
      </c>
      <c r="O536" s="629">
        <f t="shared" ca="1" si="68"/>
        <v>0</v>
      </c>
      <c r="P536" s="36">
        <f t="shared" ca="1" si="65"/>
        <v>0</v>
      </c>
      <c r="Q536" s="469">
        <f t="shared" ca="1" si="62"/>
        <v>1</v>
      </c>
      <c r="R536" s="638" t="s">
        <v>3980</v>
      </c>
    </row>
    <row r="537" spans="2:18" s="4" customFormat="1" ht="107.25" customHeight="1" x14ac:dyDescent="0.25">
      <c r="B537" s="620">
        <v>44607</v>
      </c>
      <c r="C537" s="621"/>
      <c r="D537" s="622" t="s">
        <v>3978</v>
      </c>
      <c r="E537" s="622" t="s">
        <v>3984</v>
      </c>
      <c r="F537" s="623" t="s">
        <v>3985</v>
      </c>
      <c r="G537" s="622" t="s">
        <v>18</v>
      </c>
      <c r="H537" s="622" t="s">
        <v>1345</v>
      </c>
      <c r="I537" s="630" t="s">
        <v>3561</v>
      </c>
      <c r="J537" s="625">
        <v>50976</v>
      </c>
      <c r="K537" s="625">
        <v>56.690399999999997</v>
      </c>
      <c r="L537" s="626">
        <f t="shared" si="66"/>
        <v>899.19986452732746</v>
      </c>
      <c r="M537" s="627">
        <v>60</v>
      </c>
      <c r="N537" s="628">
        <f t="shared" si="67"/>
        <v>849.6</v>
      </c>
      <c r="O537" s="629">
        <f t="shared" ca="1" si="68"/>
        <v>0</v>
      </c>
      <c r="P537" s="36">
        <f t="shared" ca="1" si="65"/>
        <v>0</v>
      </c>
      <c r="Q537" s="469">
        <f t="shared" ca="1" si="62"/>
        <v>1</v>
      </c>
      <c r="R537" s="638" t="s">
        <v>3980</v>
      </c>
    </row>
    <row r="538" spans="2:18" s="4" customFormat="1" ht="107.25" customHeight="1" x14ac:dyDescent="0.25">
      <c r="B538" s="620">
        <v>44607</v>
      </c>
      <c r="C538" s="621"/>
      <c r="D538" s="622" t="s">
        <v>3978</v>
      </c>
      <c r="E538" s="622" t="s">
        <v>3986</v>
      </c>
      <c r="F538" s="623" t="s">
        <v>3985</v>
      </c>
      <c r="G538" s="622" t="s">
        <v>18</v>
      </c>
      <c r="H538" s="622" t="s">
        <v>1345</v>
      </c>
      <c r="I538" s="630" t="s">
        <v>3561</v>
      </c>
      <c r="J538" s="625">
        <v>50976</v>
      </c>
      <c r="K538" s="625">
        <v>56.690399999999997</v>
      </c>
      <c r="L538" s="626">
        <f t="shared" si="66"/>
        <v>899.19986452732746</v>
      </c>
      <c r="M538" s="627">
        <v>60</v>
      </c>
      <c r="N538" s="628">
        <f t="shared" si="67"/>
        <v>849.6</v>
      </c>
      <c r="O538" s="629">
        <f t="shared" ca="1" si="68"/>
        <v>0</v>
      </c>
      <c r="P538" s="36">
        <f t="shared" ca="1" si="65"/>
        <v>0</v>
      </c>
      <c r="Q538" s="469">
        <f t="shared" ca="1" si="62"/>
        <v>1</v>
      </c>
      <c r="R538" s="638" t="s">
        <v>3980</v>
      </c>
    </row>
    <row r="539" spans="2:18" s="4" customFormat="1" ht="107.25" customHeight="1" x14ac:dyDescent="0.25">
      <c r="B539" s="620">
        <v>44607</v>
      </c>
      <c r="C539" s="621"/>
      <c r="D539" s="622" t="s">
        <v>3978</v>
      </c>
      <c r="E539" s="622" t="s">
        <v>3987</v>
      </c>
      <c r="F539" s="623" t="s">
        <v>3988</v>
      </c>
      <c r="G539" s="622" t="s">
        <v>18</v>
      </c>
      <c r="H539" s="622" t="s">
        <v>1345</v>
      </c>
      <c r="I539" s="630" t="s">
        <v>3561</v>
      </c>
      <c r="J539" s="625">
        <v>2118.1</v>
      </c>
      <c r="K539" s="625">
        <v>56.690399999999997</v>
      </c>
      <c r="L539" s="626">
        <f t="shared" si="66"/>
        <v>37.362586963577606</v>
      </c>
      <c r="M539" s="627">
        <v>60</v>
      </c>
      <c r="N539" s="628">
        <f t="shared" si="67"/>
        <v>35.301666666666662</v>
      </c>
      <c r="O539" s="629">
        <f t="shared" ca="1" si="68"/>
        <v>0</v>
      </c>
      <c r="P539" s="36">
        <f t="shared" ca="1" si="65"/>
        <v>0</v>
      </c>
      <c r="Q539" s="469">
        <f t="shared" ca="1" si="62"/>
        <v>1</v>
      </c>
      <c r="R539" s="638" t="s">
        <v>3980</v>
      </c>
    </row>
    <row r="540" spans="2:18" s="4" customFormat="1" ht="107.25" customHeight="1" x14ac:dyDescent="0.25">
      <c r="B540" s="620">
        <v>44607</v>
      </c>
      <c r="C540" s="621"/>
      <c r="D540" s="622" t="s">
        <v>3978</v>
      </c>
      <c r="E540" s="622" t="s">
        <v>3989</v>
      </c>
      <c r="F540" s="623" t="s">
        <v>3988</v>
      </c>
      <c r="G540" s="622" t="s">
        <v>18</v>
      </c>
      <c r="H540" s="622" t="s">
        <v>1345</v>
      </c>
      <c r="I540" s="630" t="s">
        <v>3561</v>
      </c>
      <c r="J540" s="625">
        <v>2118.1</v>
      </c>
      <c r="K540" s="625">
        <v>56.690399999999997</v>
      </c>
      <c r="L540" s="626">
        <f t="shared" si="66"/>
        <v>37.362586963577606</v>
      </c>
      <c r="M540" s="627">
        <v>60</v>
      </c>
      <c r="N540" s="628">
        <f t="shared" si="67"/>
        <v>35.301666666666662</v>
      </c>
      <c r="O540" s="629">
        <f t="shared" ca="1" si="68"/>
        <v>0</v>
      </c>
      <c r="P540" s="36">
        <f t="shared" ca="1" si="65"/>
        <v>0</v>
      </c>
      <c r="Q540" s="469">
        <f t="shared" ca="1" si="62"/>
        <v>1</v>
      </c>
      <c r="R540" s="638" t="s">
        <v>3980</v>
      </c>
    </row>
    <row r="541" spans="2:18" s="4" customFormat="1" ht="107.25" customHeight="1" x14ac:dyDescent="0.25">
      <c r="B541" s="620">
        <v>44607</v>
      </c>
      <c r="C541" s="621"/>
      <c r="D541" s="622" t="s">
        <v>3978</v>
      </c>
      <c r="E541" s="622" t="s">
        <v>3990</v>
      </c>
      <c r="F541" s="623" t="s">
        <v>3988</v>
      </c>
      <c r="G541" s="622" t="s">
        <v>18</v>
      </c>
      <c r="H541" s="622" t="s">
        <v>1345</v>
      </c>
      <c r="I541" s="630" t="s">
        <v>3561</v>
      </c>
      <c r="J541" s="625">
        <v>2118.1</v>
      </c>
      <c r="K541" s="625">
        <v>56.690399999999997</v>
      </c>
      <c r="L541" s="626">
        <f t="shared" si="66"/>
        <v>37.362586963577606</v>
      </c>
      <c r="M541" s="627">
        <v>60</v>
      </c>
      <c r="N541" s="628">
        <f t="shared" si="67"/>
        <v>35.301666666666662</v>
      </c>
      <c r="O541" s="629">
        <f t="shared" ca="1" si="68"/>
        <v>0</v>
      </c>
      <c r="P541" s="36">
        <f t="shared" ca="1" si="65"/>
        <v>0</v>
      </c>
      <c r="Q541" s="469">
        <f t="shared" ca="1" si="62"/>
        <v>1</v>
      </c>
      <c r="R541" s="638" t="s">
        <v>3980</v>
      </c>
    </row>
    <row r="542" spans="2:18" s="4" customFormat="1" ht="107.25" customHeight="1" x14ac:dyDescent="0.25">
      <c r="B542" s="620">
        <v>44607</v>
      </c>
      <c r="C542" s="621"/>
      <c r="D542" s="622" t="s">
        <v>3978</v>
      </c>
      <c r="E542" s="622" t="s">
        <v>3991</v>
      </c>
      <c r="F542" s="623" t="s">
        <v>3988</v>
      </c>
      <c r="G542" s="622" t="s">
        <v>18</v>
      </c>
      <c r="H542" s="622" t="s">
        <v>1345</v>
      </c>
      <c r="I542" s="630" t="s">
        <v>3561</v>
      </c>
      <c r="J542" s="625">
        <v>2118.1</v>
      </c>
      <c r="K542" s="625">
        <v>56.690399999999997</v>
      </c>
      <c r="L542" s="626">
        <f t="shared" si="66"/>
        <v>37.362586963577606</v>
      </c>
      <c r="M542" s="627">
        <v>60</v>
      </c>
      <c r="N542" s="628">
        <f t="shared" si="67"/>
        <v>35.301666666666662</v>
      </c>
      <c r="O542" s="629">
        <f t="shared" ca="1" si="68"/>
        <v>0</v>
      </c>
      <c r="P542" s="36">
        <f t="shared" ca="1" si="65"/>
        <v>0</v>
      </c>
      <c r="Q542" s="469">
        <f t="shared" ca="1" si="62"/>
        <v>1</v>
      </c>
      <c r="R542" s="638" t="s">
        <v>3980</v>
      </c>
    </row>
    <row r="543" spans="2:18" s="4" customFormat="1" ht="107.25" customHeight="1" x14ac:dyDescent="0.25">
      <c r="B543" s="620">
        <v>44607</v>
      </c>
      <c r="C543" s="621"/>
      <c r="D543" s="622" t="s">
        <v>3978</v>
      </c>
      <c r="E543" s="622" t="s">
        <v>3992</v>
      </c>
      <c r="F543" s="623" t="s">
        <v>3988</v>
      </c>
      <c r="G543" s="622" t="s">
        <v>18</v>
      </c>
      <c r="H543" s="622" t="s">
        <v>1345</v>
      </c>
      <c r="I543" s="630" t="s">
        <v>3561</v>
      </c>
      <c r="J543" s="625">
        <v>2118.1</v>
      </c>
      <c r="K543" s="625">
        <v>56.690399999999997</v>
      </c>
      <c r="L543" s="626">
        <f t="shared" si="66"/>
        <v>37.362586963577606</v>
      </c>
      <c r="M543" s="627">
        <v>60</v>
      </c>
      <c r="N543" s="628">
        <f t="shared" si="67"/>
        <v>35.301666666666662</v>
      </c>
      <c r="O543" s="629">
        <f t="shared" ca="1" si="68"/>
        <v>0</v>
      </c>
      <c r="P543" s="36">
        <f t="shared" ca="1" si="65"/>
        <v>0</v>
      </c>
      <c r="Q543" s="469">
        <f t="shared" ca="1" si="62"/>
        <v>1</v>
      </c>
      <c r="R543" s="638" t="s">
        <v>3980</v>
      </c>
    </row>
    <row r="544" spans="2:18" s="4" customFormat="1" ht="107.25" customHeight="1" x14ac:dyDescent="0.25">
      <c r="B544" s="620">
        <v>44607</v>
      </c>
      <c r="C544" s="621"/>
      <c r="D544" s="622" t="s">
        <v>3978</v>
      </c>
      <c r="E544" s="622" t="s">
        <v>3993</v>
      </c>
      <c r="F544" s="623" t="s">
        <v>3988</v>
      </c>
      <c r="G544" s="622" t="s">
        <v>18</v>
      </c>
      <c r="H544" s="622" t="s">
        <v>1345</v>
      </c>
      <c r="I544" s="630" t="s">
        <v>3561</v>
      </c>
      <c r="J544" s="625">
        <v>2118.1</v>
      </c>
      <c r="K544" s="625">
        <v>56.690399999999997</v>
      </c>
      <c r="L544" s="626">
        <f t="shared" si="66"/>
        <v>37.362586963577606</v>
      </c>
      <c r="M544" s="627">
        <v>60</v>
      </c>
      <c r="N544" s="628">
        <f t="shared" si="67"/>
        <v>35.301666666666662</v>
      </c>
      <c r="O544" s="629">
        <f t="shared" ca="1" si="68"/>
        <v>0</v>
      </c>
      <c r="P544" s="36">
        <f t="shared" ca="1" si="65"/>
        <v>0</v>
      </c>
      <c r="Q544" s="469">
        <f t="shared" ca="1" si="62"/>
        <v>1</v>
      </c>
      <c r="R544" s="638" t="s">
        <v>3980</v>
      </c>
    </row>
    <row r="545" spans="2:18" s="4" customFormat="1" ht="107.25" customHeight="1" x14ac:dyDescent="0.25">
      <c r="B545" s="620">
        <v>44607</v>
      </c>
      <c r="C545" s="621"/>
      <c r="D545" s="622" t="s">
        <v>3978</v>
      </c>
      <c r="E545" s="622" t="s">
        <v>3994</v>
      </c>
      <c r="F545" s="623" t="s">
        <v>3988</v>
      </c>
      <c r="G545" s="622" t="s">
        <v>18</v>
      </c>
      <c r="H545" s="622" t="s">
        <v>1345</v>
      </c>
      <c r="I545" s="630" t="s">
        <v>3561</v>
      </c>
      <c r="J545" s="625">
        <v>2118.1</v>
      </c>
      <c r="K545" s="625">
        <v>56.690399999999997</v>
      </c>
      <c r="L545" s="626">
        <f t="shared" si="66"/>
        <v>37.362586963577606</v>
      </c>
      <c r="M545" s="627">
        <v>60</v>
      </c>
      <c r="N545" s="628">
        <f t="shared" si="67"/>
        <v>35.301666666666662</v>
      </c>
      <c r="O545" s="629">
        <f t="shared" ca="1" si="68"/>
        <v>0</v>
      </c>
      <c r="P545" s="36">
        <f t="shared" ca="1" si="65"/>
        <v>0</v>
      </c>
      <c r="Q545" s="469">
        <f t="shared" ca="1" si="62"/>
        <v>1</v>
      </c>
      <c r="R545" s="638" t="s">
        <v>3980</v>
      </c>
    </row>
    <row r="546" spans="2:18" s="4" customFormat="1" ht="107.25" customHeight="1" x14ac:dyDescent="0.25">
      <c r="B546" s="620">
        <v>44607</v>
      </c>
      <c r="C546" s="621"/>
      <c r="D546" s="622" t="s">
        <v>3978</v>
      </c>
      <c r="E546" s="622" t="s">
        <v>3995</v>
      </c>
      <c r="F546" s="623" t="s">
        <v>3988</v>
      </c>
      <c r="G546" s="622" t="s">
        <v>18</v>
      </c>
      <c r="H546" s="622" t="s">
        <v>1345</v>
      </c>
      <c r="I546" s="630" t="s">
        <v>3561</v>
      </c>
      <c r="J546" s="625">
        <v>2118.1</v>
      </c>
      <c r="K546" s="625">
        <v>56.690399999999997</v>
      </c>
      <c r="L546" s="626">
        <f t="shared" si="66"/>
        <v>37.362586963577606</v>
      </c>
      <c r="M546" s="627">
        <v>60</v>
      </c>
      <c r="N546" s="628">
        <f t="shared" si="67"/>
        <v>35.301666666666662</v>
      </c>
      <c r="O546" s="629">
        <f t="shared" ca="1" si="68"/>
        <v>0</v>
      </c>
      <c r="P546" s="36">
        <f t="shared" ca="1" si="65"/>
        <v>0</v>
      </c>
      <c r="Q546" s="469">
        <f t="shared" ca="1" si="62"/>
        <v>1</v>
      </c>
      <c r="R546" s="638" t="s">
        <v>3980</v>
      </c>
    </row>
    <row r="547" spans="2:18" s="4" customFormat="1" ht="107.25" customHeight="1" x14ac:dyDescent="0.25">
      <c r="B547" s="620">
        <v>44607</v>
      </c>
      <c r="C547" s="621"/>
      <c r="D547" s="622" t="s">
        <v>3978</v>
      </c>
      <c r="E547" s="622" t="s">
        <v>3996</v>
      </c>
      <c r="F547" s="623" t="s">
        <v>3988</v>
      </c>
      <c r="G547" s="622" t="s">
        <v>18</v>
      </c>
      <c r="H547" s="622" t="s">
        <v>1345</v>
      </c>
      <c r="I547" s="630" t="s">
        <v>3561</v>
      </c>
      <c r="J547" s="625">
        <v>2118.1</v>
      </c>
      <c r="K547" s="625">
        <v>56.690399999999997</v>
      </c>
      <c r="L547" s="626">
        <f t="shared" si="66"/>
        <v>37.362586963577606</v>
      </c>
      <c r="M547" s="627">
        <v>60</v>
      </c>
      <c r="N547" s="628">
        <f t="shared" si="67"/>
        <v>35.301666666666662</v>
      </c>
      <c r="O547" s="629">
        <f t="shared" ca="1" si="68"/>
        <v>0</v>
      </c>
      <c r="P547" s="36">
        <f t="shared" ca="1" si="65"/>
        <v>0</v>
      </c>
      <c r="Q547" s="469">
        <f t="shared" ca="1" si="62"/>
        <v>1</v>
      </c>
      <c r="R547" s="638" t="s">
        <v>3980</v>
      </c>
    </row>
    <row r="548" spans="2:18" s="4" customFormat="1" ht="107.25" customHeight="1" x14ac:dyDescent="0.25">
      <c r="B548" s="620">
        <v>44607</v>
      </c>
      <c r="C548" s="621"/>
      <c r="D548" s="622" t="s">
        <v>3978</v>
      </c>
      <c r="E548" s="622" t="s">
        <v>3997</v>
      </c>
      <c r="F548" s="623" t="s">
        <v>3988</v>
      </c>
      <c r="G548" s="622" t="s">
        <v>18</v>
      </c>
      <c r="H548" s="622" t="s">
        <v>1345</v>
      </c>
      <c r="I548" s="630" t="s">
        <v>3561</v>
      </c>
      <c r="J548" s="625">
        <v>2118.1</v>
      </c>
      <c r="K548" s="625">
        <v>56.690399999999997</v>
      </c>
      <c r="L548" s="626">
        <f t="shared" si="66"/>
        <v>37.362586963577606</v>
      </c>
      <c r="M548" s="627">
        <v>60</v>
      </c>
      <c r="N548" s="628">
        <f t="shared" si="67"/>
        <v>35.301666666666662</v>
      </c>
      <c r="O548" s="629">
        <f t="shared" ca="1" si="68"/>
        <v>0</v>
      </c>
      <c r="P548" s="36">
        <f t="shared" ca="1" si="65"/>
        <v>0</v>
      </c>
      <c r="Q548" s="469">
        <f t="shared" ca="1" si="62"/>
        <v>1</v>
      </c>
      <c r="R548" s="638" t="s">
        <v>3980</v>
      </c>
    </row>
    <row r="549" spans="2:18" s="4" customFormat="1" ht="107.25" customHeight="1" x14ac:dyDescent="0.25">
      <c r="B549" s="620">
        <v>44607</v>
      </c>
      <c r="C549" s="621"/>
      <c r="D549" s="622" t="s">
        <v>3978</v>
      </c>
      <c r="E549" s="622" t="s">
        <v>3998</v>
      </c>
      <c r="F549" s="623" t="s">
        <v>3988</v>
      </c>
      <c r="G549" s="622" t="s">
        <v>18</v>
      </c>
      <c r="H549" s="622" t="s">
        <v>1345</v>
      </c>
      <c r="I549" s="630" t="s">
        <v>3561</v>
      </c>
      <c r="J549" s="625">
        <v>2118.1</v>
      </c>
      <c r="K549" s="625">
        <v>56.690399999999997</v>
      </c>
      <c r="L549" s="626">
        <f t="shared" si="66"/>
        <v>37.362586963577606</v>
      </c>
      <c r="M549" s="627">
        <v>60</v>
      </c>
      <c r="N549" s="628">
        <f t="shared" si="67"/>
        <v>35.301666666666662</v>
      </c>
      <c r="O549" s="629">
        <f t="shared" ca="1" si="68"/>
        <v>0</v>
      </c>
      <c r="P549" s="36">
        <f t="shared" ca="1" si="65"/>
        <v>0</v>
      </c>
      <c r="Q549" s="469">
        <f t="shared" ca="1" si="62"/>
        <v>1</v>
      </c>
      <c r="R549" s="638" t="s">
        <v>3980</v>
      </c>
    </row>
    <row r="550" spans="2:18" s="4" customFormat="1" ht="107.25" customHeight="1" x14ac:dyDescent="0.25">
      <c r="B550" s="620">
        <v>44607</v>
      </c>
      <c r="C550" s="621"/>
      <c r="D550" s="622" t="s">
        <v>3978</v>
      </c>
      <c r="E550" s="622" t="s">
        <v>3999</v>
      </c>
      <c r="F550" s="623" t="s">
        <v>3988</v>
      </c>
      <c r="G550" s="622" t="s">
        <v>18</v>
      </c>
      <c r="H550" s="622" t="s">
        <v>1345</v>
      </c>
      <c r="I550" s="630" t="s">
        <v>3561</v>
      </c>
      <c r="J550" s="625">
        <v>2118.1</v>
      </c>
      <c r="K550" s="625">
        <v>56.690399999999997</v>
      </c>
      <c r="L550" s="626">
        <f t="shared" si="66"/>
        <v>37.362586963577606</v>
      </c>
      <c r="M550" s="627">
        <v>60</v>
      </c>
      <c r="N550" s="628">
        <f t="shared" si="67"/>
        <v>35.301666666666662</v>
      </c>
      <c r="O550" s="629">
        <f t="shared" ca="1" si="68"/>
        <v>0</v>
      </c>
      <c r="P550" s="36">
        <f t="shared" ca="1" si="65"/>
        <v>0</v>
      </c>
      <c r="Q550" s="469">
        <f t="shared" ca="1" si="62"/>
        <v>1</v>
      </c>
      <c r="R550" s="638" t="s">
        <v>3980</v>
      </c>
    </row>
    <row r="551" spans="2:18" s="4" customFormat="1" ht="107.25" customHeight="1" x14ac:dyDescent="0.25">
      <c r="B551" s="620">
        <v>44607</v>
      </c>
      <c r="C551" s="621"/>
      <c r="D551" s="622" t="s">
        <v>3978</v>
      </c>
      <c r="E551" s="622" t="s">
        <v>4000</v>
      </c>
      <c r="F551" s="623" t="s">
        <v>3988</v>
      </c>
      <c r="G551" s="622" t="s">
        <v>18</v>
      </c>
      <c r="H551" s="622" t="s">
        <v>1345</v>
      </c>
      <c r="I551" s="630" t="s">
        <v>3561</v>
      </c>
      <c r="J551" s="625">
        <v>2118.1</v>
      </c>
      <c r="K551" s="625">
        <v>56.690399999999997</v>
      </c>
      <c r="L551" s="626">
        <f t="shared" si="66"/>
        <v>37.362586963577606</v>
      </c>
      <c r="M551" s="627">
        <v>60</v>
      </c>
      <c r="N551" s="628">
        <f t="shared" si="67"/>
        <v>35.301666666666662</v>
      </c>
      <c r="O551" s="629">
        <f t="shared" ca="1" si="68"/>
        <v>0</v>
      </c>
      <c r="P551" s="36">
        <f t="shared" ca="1" si="65"/>
        <v>0</v>
      </c>
      <c r="Q551" s="469">
        <f t="shared" ca="1" si="62"/>
        <v>1</v>
      </c>
      <c r="R551" s="638" t="s">
        <v>3980</v>
      </c>
    </row>
    <row r="552" spans="2:18" s="4" customFormat="1" ht="107.25" customHeight="1" x14ac:dyDescent="0.25">
      <c r="B552" s="620">
        <v>44607</v>
      </c>
      <c r="C552" s="621"/>
      <c r="D552" s="622" t="s">
        <v>3978</v>
      </c>
      <c r="E552" s="622" t="s">
        <v>4001</v>
      </c>
      <c r="F552" s="623" t="s">
        <v>3988</v>
      </c>
      <c r="G552" s="622" t="s">
        <v>18</v>
      </c>
      <c r="H552" s="622" t="s">
        <v>1345</v>
      </c>
      <c r="I552" s="630" t="s">
        <v>3561</v>
      </c>
      <c r="J552" s="625">
        <v>2118.1</v>
      </c>
      <c r="K552" s="625">
        <v>56.690399999999997</v>
      </c>
      <c r="L552" s="626">
        <f t="shared" si="66"/>
        <v>37.362586963577606</v>
      </c>
      <c r="M552" s="627">
        <v>60</v>
      </c>
      <c r="N552" s="628">
        <f t="shared" si="67"/>
        <v>35.301666666666662</v>
      </c>
      <c r="O552" s="629">
        <f t="shared" ca="1" si="68"/>
        <v>0</v>
      </c>
      <c r="P552" s="36">
        <f t="shared" ca="1" si="65"/>
        <v>0</v>
      </c>
      <c r="Q552" s="469">
        <f t="shared" ca="1" si="62"/>
        <v>1</v>
      </c>
      <c r="R552" s="638" t="s">
        <v>3980</v>
      </c>
    </row>
    <row r="553" spans="2:18" s="4" customFormat="1" ht="107.25" customHeight="1" x14ac:dyDescent="0.25">
      <c r="B553" s="620">
        <v>44607</v>
      </c>
      <c r="C553" s="621"/>
      <c r="D553" s="622" t="s">
        <v>3978</v>
      </c>
      <c r="E553" s="622" t="s">
        <v>4002</v>
      </c>
      <c r="F553" s="623" t="s">
        <v>3988</v>
      </c>
      <c r="G553" s="622" t="s">
        <v>18</v>
      </c>
      <c r="H553" s="622" t="s">
        <v>1345</v>
      </c>
      <c r="I553" s="630" t="s">
        <v>3561</v>
      </c>
      <c r="J553" s="625">
        <v>2118.1</v>
      </c>
      <c r="K553" s="625">
        <v>56.690399999999997</v>
      </c>
      <c r="L553" s="626">
        <f t="shared" si="66"/>
        <v>37.362586963577606</v>
      </c>
      <c r="M553" s="627">
        <v>60</v>
      </c>
      <c r="N553" s="628">
        <f t="shared" si="67"/>
        <v>35.301666666666662</v>
      </c>
      <c r="O553" s="629">
        <f t="shared" ca="1" si="68"/>
        <v>0</v>
      </c>
      <c r="P553" s="36">
        <f t="shared" ca="1" si="65"/>
        <v>0</v>
      </c>
      <c r="Q553" s="469">
        <f t="shared" ca="1" si="62"/>
        <v>1</v>
      </c>
      <c r="R553" s="638" t="s">
        <v>3980</v>
      </c>
    </row>
    <row r="554" spans="2:18" s="4" customFormat="1" ht="107.25" customHeight="1" x14ac:dyDescent="0.25">
      <c r="B554" s="620">
        <v>44607</v>
      </c>
      <c r="C554" s="621"/>
      <c r="D554" s="622" t="s">
        <v>3978</v>
      </c>
      <c r="E554" s="622" t="s">
        <v>4003</v>
      </c>
      <c r="F554" s="623" t="s">
        <v>3988</v>
      </c>
      <c r="G554" s="622" t="s">
        <v>18</v>
      </c>
      <c r="H554" s="622" t="s">
        <v>1345</v>
      </c>
      <c r="I554" s="630" t="s">
        <v>3561</v>
      </c>
      <c r="J554" s="625">
        <v>2118.1</v>
      </c>
      <c r="K554" s="625">
        <v>56.690399999999997</v>
      </c>
      <c r="L554" s="626">
        <f t="shared" si="66"/>
        <v>37.362586963577606</v>
      </c>
      <c r="M554" s="627">
        <v>60</v>
      </c>
      <c r="N554" s="628">
        <f t="shared" si="67"/>
        <v>35.301666666666662</v>
      </c>
      <c r="O554" s="629">
        <f t="shared" ca="1" si="68"/>
        <v>0</v>
      </c>
      <c r="P554" s="36">
        <f t="shared" ca="1" si="65"/>
        <v>0</v>
      </c>
      <c r="Q554" s="469">
        <f t="shared" ca="1" si="62"/>
        <v>1</v>
      </c>
      <c r="R554" s="638" t="s">
        <v>3980</v>
      </c>
    </row>
    <row r="555" spans="2:18" s="4" customFormat="1" ht="107.25" customHeight="1" x14ac:dyDescent="0.25">
      <c r="B555" s="620">
        <v>44607</v>
      </c>
      <c r="C555" s="621"/>
      <c r="D555" s="622" t="s">
        <v>3978</v>
      </c>
      <c r="E555" s="622" t="s">
        <v>4004</v>
      </c>
      <c r="F555" s="623" t="s">
        <v>4005</v>
      </c>
      <c r="G555" s="622" t="s">
        <v>18</v>
      </c>
      <c r="H555" s="622" t="s">
        <v>1345</v>
      </c>
      <c r="I555" s="630" t="s">
        <v>3561</v>
      </c>
      <c r="J555" s="625">
        <v>82594.100000000006</v>
      </c>
      <c r="K555" s="625">
        <v>56.690399999999997</v>
      </c>
      <c r="L555" s="626">
        <f t="shared" si="66"/>
        <v>1456.9327434627382</v>
      </c>
      <c r="M555" s="627">
        <v>60</v>
      </c>
      <c r="N555" s="628">
        <f t="shared" si="67"/>
        <v>1376.5683333333334</v>
      </c>
      <c r="O555" s="629">
        <f t="shared" ca="1" si="68"/>
        <v>0</v>
      </c>
      <c r="P555" s="36">
        <f t="shared" ca="1" si="65"/>
        <v>0</v>
      </c>
      <c r="Q555" s="469">
        <f t="shared" ca="1" si="62"/>
        <v>1</v>
      </c>
      <c r="R555" s="638" t="s">
        <v>3980</v>
      </c>
    </row>
    <row r="556" spans="2:18" s="4" customFormat="1" ht="107.25" customHeight="1" x14ac:dyDescent="0.25">
      <c r="B556" s="620">
        <v>44607</v>
      </c>
      <c r="C556" s="621"/>
      <c r="D556" s="622" t="s">
        <v>3978</v>
      </c>
      <c r="E556" s="622" t="s">
        <v>4006</v>
      </c>
      <c r="F556" s="623" t="s">
        <v>4005</v>
      </c>
      <c r="G556" s="622" t="s">
        <v>18</v>
      </c>
      <c r="H556" s="622" t="s">
        <v>1345</v>
      </c>
      <c r="I556" s="630" t="s">
        <v>3561</v>
      </c>
      <c r="J556" s="625">
        <v>82594.100000000006</v>
      </c>
      <c r="K556" s="625">
        <v>56.690399999999997</v>
      </c>
      <c r="L556" s="626">
        <f t="shared" si="66"/>
        <v>1456.9327434627382</v>
      </c>
      <c r="M556" s="627">
        <v>60</v>
      </c>
      <c r="N556" s="628">
        <f t="shared" si="67"/>
        <v>1376.5683333333334</v>
      </c>
      <c r="O556" s="629">
        <f t="shared" ca="1" si="68"/>
        <v>0</v>
      </c>
      <c r="P556" s="36">
        <f t="shared" ca="1" si="65"/>
        <v>0</v>
      </c>
      <c r="Q556" s="469">
        <f t="shared" ca="1" si="62"/>
        <v>1</v>
      </c>
      <c r="R556" s="638" t="s">
        <v>3980</v>
      </c>
    </row>
    <row r="557" spans="2:18" s="4" customFormat="1" ht="107.25" customHeight="1" x14ac:dyDescent="0.25">
      <c r="B557" s="620">
        <v>44607</v>
      </c>
      <c r="C557" s="621"/>
      <c r="D557" s="622" t="s">
        <v>3978</v>
      </c>
      <c r="E557" s="622" t="s">
        <v>4007</v>
      </c>
      <c r="F557" s="623" t="s">
        <v>4465</v>
      </c>
      <c r="G557" s="622" t="s">
        <v>18</v>
      </c>
      <c r="H557" s="622" t="s">
        <v>1345</v>
      </c>
      <c r="I557" s="630" t="s">
        <v>3561</v>
      </c>
      <c r="J557" s="625">
        <v>9222.2199999999993</v>
      </c>
      <c r="K557" s="625">
        <v>56.690399999999997</v>
      </c>
      <c r="L557" s="626">
        <f t="shared" si="66"/>
        <v>162.67692589927043</v>
      </c>
      <c r="M557" s="627">
        <v>60</v>
      </c>
      <c r="N557" s="628">
        <f t="shared" si="67"/>
        <v>153.70366666666666</v>
      </c>
      <c r="O557" s="629">
        <f t="shared" ca="1" si="68"/>
        <v>0</v>
      </c>
      <c r="P557" s="36">
        <f t="shared" ca="1" si="65"/>
        <v>0</v>
      </c>
      <c r="Q557" s="469">
        <f t="shared" ca="1" si="62"/>
        <v>1</v>
      </c>
      <c r="R557" s="638" t="s">
        <v>3980</v>
      </c>
    </row>
    <row r="558" spans="2:18" s="4" customFormat="1" ht="107.25" customHeight="1" x14ac:dyDescent="0.25">
      <c r="B558" s="620">
        <v>44607</v>
      </c>
      <c r="C558" s="621"/>
      <c r="D558" s="622" t="s">
        <v>3978</v>
      </c>
      <c r="E558" s="622" t="s">
        <v>4008</v>
      </c>
      <c r="F558" s="623" t="s">
        <v>4465</v>
      </c>
      <c r="G558" s="622" t="s">
        <v>18</v>
      </c>
      <c r="H558" s="622" t="s">
        <v>1345</v>
      </c>
      <c r="I558" s="630" t="s">
        <v>3561</v>
      </c>
      <c r="J558" s="625">
        <v>9222.2199999999993</v>
      </c>
      <c r="K558" s="625">
        <v>56.690399999999997</v>
      </c>
      <c r="L558" s="626">
        <f t="shared" si="66"/>
        <v>162.67692589927043</v>
      </c>
      <c r="M558" s="627">
        <v>60</v>
      </c>
      <c r="N558" s="628">
        <f t="shared" si="67"/>
        <v>153.70366666666666</v>
      </c>
      <c r="O558" s="629">
        <f t="shared" ca="1" si="68"/>
        <v>0</v>
      </c>
      <c r="P558" s="36">
        <f t="shared" ca="1" si="65"/>
        <v>0</v>
      </c>
      <c r="Q558" s="469">
        <f t="shared" ca="1" si="62"/>
        <v>1</v>
      </c>
      <c r="R558" s="638" t="s">
        <v>3980</v>
      </c>
    </row>
    <row r="559" spans="2:18" s="4" customFormat="1" ht="107.25" customHeight="1" x14ac:dyDescent="0.25">
      <c r="B559" s="620">
        <v>44607</v>
      </c>
      <c r="C559" s="621"/>
      <c r="D559" s="622" t="s">
        <v>3978</v>
      </c>
      <c r="E559" s="622" t="s">
        <v>4009</v>
      </c>
      <c r="F559" s="623" t="s">
        <v>4466</v>
      </c>
      <c r="G559" s="622" t="s">
        <v>18</v>
      </c>
      <c r="H559" s="622" t="s">
        <v>1345</v>
      </c>
      <c r="I559" s="630" t="s">
        <v>3561</v>
      </c>
      <c r="J559" s="625">
        <v>23505.599999999999</v>
      </c>
      <c r="K559" s="625">
        <v>56.690399999999997</v>
      </c>
      <c r="L559" s="626">
        <f t="shared" si="66"/>
        <v>414.63104864315653</v>
      </c>
      <c r="M559" s="627">
        <v>60</v>
      </c>
      <c r="N559" s="628">
        <f t="shared" si="67"/>
        <v>391.76</v>
      </c>
      <c r="O559" s="629">
        <f t="shared" ca="1" si="68"/>
        <v>0</v>
      </c>
      <c r="P559" s="36">
        <f t="shared" ca="1" si="65"/>
        <v>0</v>
      </c>
      <c r="Q559" s="469">
        <f t="shared" ca="1" si="62"/>
        <v>1</v>
      </c>
      <c r="R559" s="638" t="s">
        <v>3980</v>
      </c>
    </row>
    <row r="560" spans="2:18" s="4" customFormat="1" ht="107.25" customHeight="1" x14ac:dyDescent="0.25">
      <c r="B560" s="620">
        <v>44607</v>
      </c>
      <c r="C560" s="621"/>
      <c r="D560" s="622" t="s">
        <v>3978</v>
      </c>
      <c r="E560" s="622" t="s">
        <v>4010</v>
      </c>
      <c r="F560" s="623" t="s">
        <v>4466</v>
      </c>
      <c r="G560" s="622" t="s">
        <v>18</v>
      </c>
      <c r="H560" s="622" t="s">
        <v>1345</v>
      </c>
      <c r="I560" s="630" t="s">
        <v>3561</v>
      </c>
      <c r="J560" s="625">
        <v>23505.599999999999</v>
      </c>
      <c r="K560" s="625">
        <v>56.690399999999997</v>
      </c>
      <c r="L560" s="626">
        <f t="shared" si="66"/>
        <v>414.63104864315653</v>
      </c>
      <c r="M560" s="627">
        <v>60</v>
      </c>
      <c r="N560" s="628">
        <f t="shared" si="67"/>
        <v>391.76</v>
      </c>
      <c r="O560" s="629">
        <f t="shared" ca="1" si="68"/>
        <v>0</v>
      </c>
      <c r="P560" s="36">
        <f t="shared" ca="1" si="65"/>
        <v>0</v>
      </c>
      <c r="Q560" s="469">
        <f t="shared" ca="1" si="62"/>
        <v>1</v>
      </c>
      <c r="R560" s="638" t="s">
        <v>3980</v>
      </c>
    </row>
    <row r="561" spans="2:18" s="4" customFormat="1" ht="107.25" customHeight="1" x14ac:dyDescent="0.25">
      <c r="B561" s="620">
        <v>44607</v>
      </c>
      <c r="C561" s="621"/>
      <c r="D561" s="622" t="s">
        <v>3978</v>
      </c>
      <c r="E561" s="622" t="s">
        <v>4011</v>
      </c>
      <c r="F561" s="623" t="s">
        <v>4012</v>
      </c>
      <c r="G561" s="622" t="s">
        <v>18</v>
      </c>
      <c r="H561" s="622" t="s">
        <v>1345</v>
      </c>
      <c r="I561" s="630" t="s">
        <v>3561</v>
      </c>
      <c r="J561" s="625">
        <v>3534.1</v>
      </c>
      <c r="K561" s="625">
        <v>56.690399999999997</v>
      </c>
      <c r="L561" s="626">
        <f t="shared" si="66"/>
        <v>62.34036097822559</v>
      </c>
      <c r="M561" s="627">
        <v>60</v>
      </c>
      <c r="N561" s="628">
        <f t="shared" si="67"/>
        <v>58.901666666666664</v>
      </c>
      <c r="O561" s="629">
        <f t="shared" ca="1" si="68"/>
        <v>0</v>
      </c>
      <c r="P561" s="36">
        <f t="shared" ca="1" si="65"/>
        <v>0</v>
      </c>
      <c r="Q561" s="469">
        <f t="shared" ca="1" si="62"/>
        <v>1</v>
      </c>
      <c r="R561" s="638" t="s">
        <v>3980</v>
      </c>
    </row>
    <row r="562" spans="2:18" s="4" customFormat="1" ht="107.25" customHeight="1" x14ac:dyDescent="0.25">
      <c r="B562" s="620">
        <v>44607</v>
      </c>
      <c r="C562" s="621"/>
      <c r="D562" s="622" t="s">
        <v>3978</v>
      </c>
      <c r="E562" s="622" t="s">
        <v>4013</v>
      </c>
      <c r="F562" s="623" t="s">
        <v>4012</v>
      </c>
      <c r="G562" s="622" t="s">
        <v>18</v>
      </c>
      <c r="H562" s="622" t="s">
        <v>1345</v>
      </c>
      <c r="I562" s="630" t="s">
        <v>3561</v>
      </c>
      <c r="J562" s="625">
        <v>3534.1</v>
      </c>
      <c r="K562" s="625">
        <v>56.690399999999997</v>
      </c>
      <c r="L562" s="626">
        <f t="shared" si="66"/>
        <v>62.34036097822559</v>
      </c>
      <c r="M562" s="627">
        <v>60</v>
      </c>
      <c r="N562" s="628">
        <f t="shared" si="67"/>
        <v>58.901666666666664</v>
      </c>
      <c r="O562" s="629">
        <f t="shared" ca="1" si="68"/>
        <v>0</v>
      </c>
      <c r="P562" s="36">
        <f t="shared" ca="1" si="65"/>
        <v>0</v>
      </c>
      <c r="Q562" s="469">
        <f t="shared" ca="1" si="62"/>
        <v>1</v>
      </c>
      <c r="R562" s="638" t="s">
        <v>3980</v>
      </c>
    </row>
    <row r="563" spans="2:18" s="4" customFormat="1" ht="107.25" customHeight="1" x14ac:dyDescent="0.25">
      <c r="B563" s="649">
        <v>44607</v>
      </c>
      <c r="C563" s="650"/>
      <c r="D563" s="651" t="s">
        <v>3978</v>
      </c>
      <c r="E563" s="615" t="s">
        <v>4014</v>
      </c>
      <c r="F563" s="652" t="s">
        <v>4015</v>
      </c>
      <c r="G563" s="651" t="s">
        <v>4016</v>
      </c>
      <c r="H563" s="651" t="s">
        <v>1345</v>
      </c>
      <c r="I563" s="653" t="s">
        <v>3561</v>
      </c>
      <c r="J563" s="654">
        <v>15281</v>
      </c>
      <c r="K563" s="654">
        <v>56.690399999999997</v>
      </c>
      <c r="L563" s="655">
        <f t="shared" si="66"/>
        <v>269.5518112414095</v>
      </c>
      <c r="M563" s="628">
        <v>60</v>
      </c>
      <c r="N563" s="628">
        <f>+J563/M564</f>
        <v>254.68333333333334</v>
      </c>
      <c r="O563" s="656">
        <f t="shared" ca="1" si="68"/>
        <v>0</v>
      </c>
      <c r="P563" s="36">
        <f t="shared" ca="1" si="65"/>
        <v>0</v>
      </c>
      <c r="Q563" s="657">
        <f t="shared" ca="1" si="62"/>
        <v>1</v>
      </c>
      <c r="R563" s="658" t="s">
        <v>3980</v>
      </c>
    </row>
    <row r="564" spans="2:18" s="4" customFormat="1" ht="107.25" customHeight="1" x14ac:dyDescent="0.25">
      <c r="B564" s="649">
        <v>44607</v>
      </c>
      <c r="C564" s="650"/>
      <c r="D564" s="651" t="s">
        <v>3978</v>
      </c>
      <c r="E564" s="615" t="s">
        <v>4017</v>
      </c>
      <c r="F564" s="652" t="s">
        <v>4018</v>
      </c>
      <c r="G564" s="651" t="s">
        <v>4016</v>
      </c>
      <c r="H564" s="651" t="s">
        <v>1345</v>
      </c>
      <c r="I564" s="653" t="s">
        <v>3561</v>
      </c>
      <c r="J564" s="654">
        <v>15281</v>
      </c>
      <c r="K564" s="654">
        <v>56.690399999999997</v>
      </c>
      <c r="L564" s="655">
        <f t="shared" si="66"/>
        <v>269.5518112414095</v>
      </c>
      <c r="M564" s="628">
        <v>60</v>
      </c>
      <c r="N564" s="628">
        <f>+J564/M565</f>
        <v>254.68333333333334</v>
      </c>
      <c r="O564" s="656">
        <f t="shared" ca="1" si="68"/>
        <v>0</v>
      </c>
      <c r="P564" s="36">
        <f t="shared" ca="1" si="65"/>
        <v>0</v>
      </c>
      <c r="Q564" s="657">
        <f t="shared" ca="1" si="62"/>
        <v>1</v>
      </c>
      <c r="R564" s="658" t="s">
        <v>3980</v>
      </c>
    </row>
    <row r="565" spans="2:18" s="4" customFormat="1" ht="107.25" customHeight="1" x14ac:dyDescent="0.25">
      <c r="B565" s="649">
        <v>44607</v>
      </c>
      <c r="C565" s="650"/>
      <c r="D565" s="651" t="s">
        <v>3978</v>
      </c>
      <c r="E565" s="615" t="s">
        <v>4019</v>
      </c>
      <c r="F565" s="652" t="s">
        <v>4015</v>
      </c>
      <c r="G565" s="651" t="s">
        <v>4016</v>
      </c>
      <c r="H565" s="651" t="s">
        <v>1345</v>
      </c>
      <c r="I565" s="653" t="s">
        <v>3561</v>
      </c>
      <c r="J565" s="654">
        <v>15281</v>
      </c>
      <c r="K565" s="654">
        <v>56.690399999999997</v>
      </c>
      <c r="L565" s="655">
        <f t="shared" si="66"/>
        <v>269.5518112414095</v>
      </c>
      <c r="M565" s="628">
        <v>60</v>
      </c>
      <c r="N565" s="628">
        <f t="shared" ref="N565:N572" si="69">+J565/M573</f>
        <v>254.68333333333334</v>
      </c>
      <c r="O565" s="656">
        <f t="shared" ca="1" si="68"/>
        <v>0</v>
      </c>
      <c r="P565" s="36">
        <f t="shared" ca="1" si="65"/>
        <v>0</v>
      </c>
      <c r="Q565" s="657">
        <f t="shared" ca="1" si="62"/>
        <v>1</v>
      </c>
      <c r="R565" s="658" t="s">
        <v>3980</v>
      </c>
    </row>
    <row r="566" spans="2:18" s="4" customFormat="1" ht="107.25" customHeight="1" x14ac:dyDescent="0.25">
      <c r="B566" s="649">
        <v>44607</v>
      </c>
      <c r="C566" s="650"/>
      <c r="D566" s="651" t="s">
        <v>3978</v>
      </c>
      <c r="E566" s="615" t="s">
        <v>4020</v>
      </c>
      <c r="F566" s="652" t="s">
        <v>4021</v>
      </c>
      <c r="G566" s="651" t="s">
        <v>18</v>
      </c>
      <c r="H566" s="651" t="s">
        <v>1345</v>
      </c>
      <c r="I566" s="653" t="s">
        <v>3561</v>
      </c>
      <c r="J566" s="654">
        <v>584.1</v>
      </c>
      <c r="K566" s="654">
        <v>56.690399999999997</v>
      </c>
      <c r="L566" s="655">
        <f t="shared" si="66"/>
        <v>10.303331781042294</v>
      </c>
      <c r="M566" s="628">
        <v>48</v>
      </c>
      <c r="N566" s="628">
        <f t="shared" si="69"/>
        <v>9.7350000000000012</v>
      </c>
      <c r="O566" s="656">
        <f t="shared" ca="1" si="68"/>
        <v>0</v>
      </c>
      <c r="P566" s="36">
        <f t="shared" ca="1" si="65"/>
        <v>0</v>
      </c>
      <c r="Q566" s="657">
        <f t="shared" ca="1" si="62"/>
        <v>1</v>
      </c>
      <c r="R566" s="658" t="s">
        <v>3980</v>
      </c>
    </row>
    <row r="567" spans="2:18" s="4" customFormat="1" ht="107.25" customHeight="1" x14ac:dyDescent="0.25">
      <c r="B567" s="649">
        <v>44607</v>
      </c>
      <c r="C567" s="650"/>
      <c r="D567" s="651" t="s">
        <v>3978</v>
      </c>
      <c r="E567" s="615" t="s">
        <v>4022</v>
      </c>
      <c r="F567" s="652" t="s">
        <v>4021</v>
      </c>
      <c r="G567" s="651" t="s">
        <v>18</v>
      </c>
      <c r="H567" s="651" t="s">
        <v>1345</v>
      </c>
      <c r="I567" s="653" t="s">
        <v>3561</v>
      </c>
      <c r="J567" s="654">
        <v>584.1</v>
      </c>
      <c r="K567" s="654">
        <v>56.690399999999997</v>
      </c>
      <c r="L567" s="655">
        <f t="shared" si="66"/>
        <v>10.303331781042294</v>
      </c>
      <c r="M567" s="628">
        <v>48</v>
      </c>
      <c r="N567" s="628">
        <f t="shared" si="69"/>
        <v>9.7350000000000012</v>
      </c>
      <c r="O567" s="656">
        <f t="shared" ca="1" si="68"/>
        <v>0</v>
      </c>
      <c r="P567" s="36">
        <f t="shared" ca="1" si="65"/>
        <v>0</v>
      </c>
      <c r="Q567" s="657">
        <f t="shared" ca="1" si="62"/>
        <v>1</v>
      </c>
      <c r="R567" s="658" t="s">
        <v>3980</v>
      </c>
    </row>
    <row r="568" spans="2:18" s="4" customFormat="1" ht="107.25" customHeight="1" x14ac:dyDescent="0.25">
      <c r="B568" s="649">
        <v>44607</v>
      </c>
      <c r="C568" s="650"/>
      <c r="D568" s="651" t="s">
        <v>3978</v>
      </c>
      <c r="E568" s="615" t="s">
        <v>4023</v>
      </c>
      <c r="F568" s="652" t="s">
        <v>4021</v>
      </c>
      <c r="G568" s="651" t="s">
        <v>18</v>
      </c>
      <c r="H568" s="651" t="s">
        <v>1345</v>
      </c>
      <c r="I568" s="653" t="s">
        <v>3561</v>
      </c>
      <c r="J568" s="654">
        <v>584.1</v>
      </c>
      <c r="K568" s="654">
        <v>56.690399999999997</v>
      </c>
      <c r="L568" s="655">
        <f t="shared" si="66"/>
        <v>10.303331781042294</v>
      </c>
      <c r="M568" s="628">
        <v>48</v>
      </c>
      <c r="N568" s="628">
        <f t="shared" si="69"/>
        <v>9.7350000000000012</v>
      </c>
      <c r="O568" s="656">
        <f t="shared" ca="1" si="68"/>
        <v>0</v>
      </c>
      <c r="P568" s="36">
        <f t="shared" ca="1" si="65"/>
        <v>0</v>
      </c>
      <c r="Q568" s="657">
        <f t="shared" ca="1" si="62"/>
        <v>1</v>
      </c>
      <c r="R568" s="658" t="s">
        <v>3980</v>
      </c>
    </row>
    <row r="569" spans="2:18" s="4" customFormat="1" ht="107.25" customHeight="1" x14ac:dyDescent="0.25">
      <c r="B569" s="649">
        <v>44607</v>
      </c>
      <c r="C569" s="650"/>
      <c r="D569" s="651" t="s">
        <v>3978</v>
      </c>
      <c r="E569" s="615" t="s">
        <v>4024</v>
      </c>
      <c r="F569" s="652" t="s">
        <v>4021</v>
      </c>
      <c r="G569" s="651" t="s">
        <v>18</v>
      </c>
      <c r="H569" s="651" t="s">
        <v>1345</v>
      </c>
      <c r="I569" s="653" t="s">
        <v>3561</v>
      </c>
      <c r="J569" s="654">
        <v>584.1</v>
      </c>
      <c r="K569" s="654">
        <v>56.690399999999997</v>
      </c>
      <c r="L569" s="655">
        <f t="shared" si="66"/>
        <v>10.303331781042294</v>
      </c>
      <c r="M569" s="628">
        <v>48</v>
      </c>
      <c r="N569" s="628">
        <f t="shared" si="69"/>
        <v>9.7350000000000012</v>
      </c>
      <c r="O569" s="656">
        <f t="shared" ca="1" si="68"/>
        <v>0</v>
      </c>
      <c r="P569" s="36">
        <f t="shared" ca="1" si="65"/>
        <v>0</v>
      </c>
      <c r="Q569" s="657">
        <f t="shared" ca="1" si="62"/>
        <v>1</v>
      </c>
      <c r="R569" s="658" t="s">
        <v>3980</v>
      </c>
    </row>
    <row r="570" spans="2:18" s="4" customFormat="1" ht="107.25" customHeight="1" x14ac:dyDescent="0.25">
      <c r="B570" s="649">
        <v>44607</v>
      </c>
      <c r="C570" s="650"/>
      <c r="D570" s="651" t="s">
        <v>3978</v>
      </c>
      <c r="E570" s="615" t="s">
        <v>4025</v>
      </c>
      <c r="F570" s="652" t="s">
        <v>4021</v>
      </c>
      <c r="G570" s="651" t="s">
        <v>18</v>
      </c>
      <c r="H570" s="651" t="s">
        <v>1345</v>
      </c>
      <c r="I570" s="653" t="s">
        <v>3561</v>
      </c>
      <c r="J570" s="654">
        <v>584.1</v>
      </c>
      <c r="K570" s="654">
        <v>56.690399999999997</v>
      </c>
      <c r="L570" s="655">
        <f t="shared" si="66"/>
        <v>10.303331781042294</v>
      </c>
      <c r="M570" s="628">
        <v>48</v>
      </c>
      <c r="N570" s="628">
        <f t="shared" si="69"/>
        <v>9.7350000000000012</v>
      </c>
      <c r="O570" s="656">
        <f t="shared" ca="1" si="68"/>
        <v>0</v>
      </c>
      <c r="P570" s="36">
        <f t="shared" ca="1" si="65"/>
        <v>0</v>
      </c>
      <c r="Q570" s="657">
        <f t="shared" ca="1" si="62"/>
        <v>1</v>
      </c>
      <c r="R570" s="658" t="s">
        <v>3980</v>
      </c>
    </row>
    <row r="571" spans="2:18" s="4" customFormat="1" ht="107.25" customHeight="1" x14ac:dyDescent="0.25">
      <c r="B571" s="649">
        <v>44607</v>
      </c>
      <c r="C571" s="650"/>
      <c r="D571" s="651" t="s">
        <v>3978</v>
      </c>
      <c r="E571" s="615" t="s">
        <v>4026</v>
      </c>
      <c r="F571" s="652" t="s">
        <v>4021</v>
      </c>
      <c r="G571" s="651" t="s">
        <v>18</v>
      </c>
      <c r="H571" s="651" t="s">
        <v>1345</v>
      </c>
      <c r="I571" s="653" t="s">
        <v>3561</v>
      </c>
      <c r="J571" s="654">
        <v>584.1</v>
      </c>
      <c r="K571" s="654">
        <v>56.690399999999997</v>
      </c>
      <c r="L571" s="655">
        <f t="shared" si="66"/>
        <v>10.303331781042294</v>
      </c>
      <c r="M571" s="628">
        <v>48</v>
      </c>
      <c r="N571" s="628">
        <f t="shared" si="69"/>
        <v>9.7350000000000012</v>
      </c>
      <c r="O571" s="656">
        <f t="shared" ca="1" si="68"/>
        <v>0</v>
      </c>
      <c r="P571" s="36">
        <f t="shared" ca="1" si="65"/>
        <v>0</v>
      </c>
      <c r="Q571" s="657">
        <f t="shared" ca="1" si="62"/>
        <v>1</v>
      </c>
      <c r="R571" s="658" t="s">
        <v>3980</v>
      </c>
    </row>
    <row r="572" spans="2:18" s="4" customFormat="1" ht="107.25" customHeight="1" x14ac:dyDescent="0.25">
      <c r="B572" s="649">
        <v>44607</v>
      </c>
      <c r="C572" s="650"/>
      <c r="D572" s="651" t="s">
        <v>3978</v>
      </c>
      <c r="E572" s="615" t="s">
        <v>4027</v>
      </c>
      <c r="F572" s="652" t="s">
        <v>4028</v>
      </c>
      <c r="G572" s="651" t="s">
        <v>4029</v>
      </c>
      <c r="H572" s="651" t="s">
        <v>1345</v>
      </c>
      <c r="I572" s="653" t="s">
        <v>3561</v>
      </c>
      <c r="J572" s="654">
        <v>44250</v>
      </c>
      <c r="K572" s="654">
        <v>56.690399999999997</v>
      </c>
      <c r="L572" s="655">
        <f t="shared" si="66"/>
        <v>780.55543795774952</v>
      </c>
      <c r="M572" s="628">
        <v>60</v>
      </c>
      <c r="N572" s="628">
        <f t="shared" si="69"/>
        <v>737.5</v>
      </c>
      <c r="O572" s="656">
        <f t="shared" ca="1" si="68"/>
        <v>0</v>
      </c>
      <c r="P572" s="36">
        <f t="shared" ca="1" si="65"/>
        <v>0</v>
      </c>
      <c r="Q572" s="657">
        <f t="shared" ca="1" si="62"/>
        <v>1</v>
      </c>
      <c r="R572" s="658" t="s">
        <v>3980</v>
      </c>
    </row>
    <row r="573" spans="2:18" s="4" customFormat="1" ht="107.25" customHeight="1" x14ac:dyDescent="0.25">
      <c r="B573" s="649">
        <v>44607</v>
      </c>
      <c r="C573" s="650"/>
      <c r="D573" s="651" t="s">
        <v>3978</v>
      </c>
      <c r="E573" s="651" t="s">
        <v>4030</v>
      </c>
      <c r="F573" s="652" t="s">
        <v>4031</v>
      </c>
      <c r="G573" s="651" t="s">
        <v>18</v>
      </c>
      <c r="H573" s="651" t="s">
        <v>1345</v>
      </c>
      <c r="I573" s="653" t="s">
        <v>3561</v>
      </c>
      <c r="J573" s="654">
        <v>9084.82</v>
      </c>
      <c r="K573" s="654">
        <v>56.690399999999997</v>
      </c>
      <c r="L573" s="655">
        <f t="shared" si="66"/>
        <v>160.25323511564568</v>
      </c>
      <c r="M573" s="628">
        <v>60</v>
      </c>
      <c r="N573" s="628">
        <f>+J573/M574</f>
        <v>151.41366666666667</v>
      </c>
      <c r="O573" s="656">
        <f t="shared" ca="1" si="68"/>
        <v>0</v>
      </c>
      <c r="P573" s="36">
        <f t="shared" ca="1" si="65"/>
        <v>0</v>
      </c>
      <c r="Q573" s="657">
        <f t="shared" ca="1" si="62"/>
        <v>1</v>
      </c>
      <c r="R573" s="658" t="s">
        <v>3980</v>
      </c>
    </row>
    <row r="574" spans="2:18" s="4" customFormat="1" ht="107.25" customHeight="1" x14ac:dyDescent="0.25">
      <c r="B574" s="649">
        <v>44607</v>
      </c>
      <c r="C574" s="650"/>
      <c r="D574" s="651" t="s">
        <v>3978</v>
      </c>
      <c r="E574" s="651" t="s">
        <v>4032</v>
      </c>
      <c r="F574" s="652" t="s">
        <v>4033</v>
      </c>
      <c r="G574" s="651" t="s">
        <v>18</v>
      </c>
      <c r="H574" s="651" t="s">
        <v>1345</v>
      </c>
      <c r="I574" s="653" t="s">
        <v>3561</v>
      </c>
      <c r="J574" s="654">
        <v>9084.82</v>
      </c>
      <c r="K574" s="654">
        <v>56.690399999999997</v>
      </c>
      <c r="L574" s="655">
        <f t="shared" si="66"/>
        <v>160.25323511564568</v>
      </c>
      <c r="M574" s="628">
        <v>60</v>
      </c>
      <c r="N574" s="628">
        <f t="shared" ref="N574:N623" si="70">+J574/M574</f>
        <v>151.41366666666667</v>
      </c>
      <c r="O574" s="656">
        <f t="shared" ca="1" si="68"/>
        <v>0</v>
      </c>
      <c r="P574" s="36">
        <f t="shared" ca="1" si="65"/>
        <v>0</v>
      </c>
      <c r="Q574" s="657">
        <f t="shared" ca="1" si="62"/>
        <v>1</v>
      </c>
      <c r="R574" s="658" t="s">
        <v>3980</v>
      </c>
    </row>
    <row r="575" spans="2:18" s="4" customFormat="1" ht="107.25" customHeight="1" x14ac:dyDescent="0.25">
      <c r="B575" s="649">
        <v>44607</v>
      </c>
      <c r="C575" s="650"/>
      <c r="D575" s="651" t="s">
        <v>3978</v>
      </c>
      <c r="E575" s="651" t="s">
        <v>4034</v>
      </c>
      <c r="F575" s="652" t="s">
        <v>4035</v>
      </c>
      <c r="G575" s="651" t="s">
        <v>18</v>
      </c>
      <c r="H575" s="651" t="s">
        <v>1345</v>
      </c>
      <c r="I575" s="653" t="s">
        <v>3561</v>
      </c>
      <c r="J575" s="654">
        <v>9084.82</v>
      </c>
      <c r="K575" s="654">
        <v>56.690399999999997</v>
      </c>
      <c r="L575" s="655">
        <f t="shared" si="66"/>
        <v>160.25323511564568</v>
      </c>
      <c r="M575" s="628">
        <v>60</v>
      </c>
      <c r="N575" s="628">
        <f t="shared" si="70"/>
        <v>151.41366666666667</v>
      </c>
      <c r="O575" s="656">
        <f t="shared" ca="1" si="68"/>
        <v>0</v>
      </c>
      <c r="P575" s="36">
        <f t="shared" ca="1" si="65"/>
        <v>0</v>
      </c>
      <c r="Q575" s="657">
        <f t="shared" ca="1" si="62"/>
        <v>1</v>
      </c>
      <c r="R575" s="658" t="s">
        <v>3980</v>
      </c>
    </row>
    <row r="576" spans="2:18" s="4" customFormat="1" ht="107.25" customHeight="1" x14ac:dyDescent="0.25">
      <c r="B576" s="649">
        <v>44607</v>
      </c>
      <c r="C576" s="650"/>
      <c r="D576" s="651" t="s">
        <v>3978</v>
      </c>
      <c r="E576" s="651" t="s">
        <v>4036</v>
      </c>
      <c r="F576" s="652" t="s">
        <v>4035</v>
      </c>
      <c r="G576" s="651" t="s">
        <v>18</v>
      </c>
      <c r="H576" s="651" t="s">
        <v>1345</v>
      </c>
      <c r="I576" s="653" t="s">
        <v>3561</v>
      </c>
      <c r="J576" s="654">
        <v>9084.82</v>
      </c>
      <c r="K576" s="654">
        <v>56.690399999999997</v>
      </c>
      <c r="L576" s="655">
        <f t="shared" si="66"/>
        <v>160.25323511564568</v>
      </c>
      <c r="M576" s="628">
        <v>60</v>
      </c>
      <c r="N576" s="628">
        <f t="shared" si="70"/>
        <v>151.41366666666667</v>
      </c>
      <c r="O576" s="656">
        <f t="shared" ca="1" si="68"/>
        <v>0</v>
      </c>
      <c r="P576" s="36">
        <f t="shared" ca="1" si="65"/>
        <v>0</v>
      </c>
      <c r="Q576" s="657">
        <f t="shared" ca="1" si="62"/>
        <v>1</v>
      </c>
      <c r="R576" s="658" t="s">
        <v>3980</v>
      </c>
    </row>
    <row r="577" spans="2:18" s="4" customFormat="1" ht="107.25" customHeight="1" x14ac:dyDescent="0.25">
      <c r="B577" s="649">
        <v>44607</v>
      </c>
      <c r="C577" s="650"/>
      <c r="D577" s="651" t="s">
        <v>3978</v>
      </c>
      <c r="E577" s="651" t="s">
        <v>4037</v>
      </c>
      <c r="F577" s="652" t="s">
        <v>4035</v>
      </c>
      <c r="G577" s="651" t="s">
        <v>18</v>
      </c>
      <c r="H577" s="651" t="s">
        <v>1345</v>
      </c>
      <c r="I577" s="653" t="s">
        <v>3561</v>
      </c>
      <c r="J577" s="654">
        <v>9084.82</v>
      </c>
      <c r="K577" s="654">
        <v>56.690399999999997</v>
      </c>
      <c r="L577" s="655">
        <f t="shared" si="66"/>
        <v>160.25323511564568</v>
      </c>
      <c r="M577" s="628">
        <v>60</v>
      </c>
      <c r="N577" s="628">
        <f t="shared" si="70"/>
        <v>151.41366666666667</v>
      </c>
      <c r="O577" s="656">
        <f t="shared" ca="1" si="68"/>
        <v>0</v>
      </c>
      <c r="P577" s="36">
        <f t="shared" ca="1" si="65"/>
        <v>0</v>
      </c>
      <c r="Q577" s="657">
        <f t="shared" ca="1" si="62"/>
        <v>1</v>
      </c>
      <c r="R577" s="658" t="s">
        <v>3980</v>
      </c>
    </row>
    <row r="578" spans="2:18" s="4" customFormat="1" ht="107.25" customHeight="1" x14ac:dyDescent="0.25">
      <c r="B578" s="649">
        <v>44607</v>
      </c>
      <c r="C578" s="650"/>
      <c r="D578" s="651" t="s">
        <v>3978</v>
      </c>
      <c r="E578" s="651" t="s">
        <v>4038</v>
      </c>
      <c r="F578" s="652" t="s">
        <v>4033</v>
      </c>
      <c r="G578" s="651" t="s">
        <v>18</v>
      </c>
      <c r="H578" s="651" t="s">
        <v>1345</v>
      </c>
      <c r="I578" s="653" t="s">
        <v>3561</v>
      </c>
      <c r="J578" s="654">
        <v>9084.82</v>
      </c>
      <c r="K578" s="654">
        <v>56.690399999999997</v>
      </c>
      <c r="L578" s="655">
        <f t="shared" si="66"/>
        <v>160.25323511564568</v>
      </c>
      <c r="M578" s="628">
        <v>60</v>
      </c>
      <c r="N578" s="628">
        <f t="shared" si="70"/>
        <v>151.41366666666667</v>
      </c>
      <c r="O578" s="656">
        <f t="shared" ca="1" si="68"/>
        <v>0</v>
      </c>
      <c r="P578" s="36">
        <f t="shared" ca="1" si="65"/>
        <v>0</v>
      </c>
      <c r="Q578" s="657">
        <f t="shared" ca="1" si="62"/>
        <v>1</v>
      </c>
      <c r="R578" s="658" t="s">
        <v>3980</v>
      </c>
    </row>
    <row r="579" spans="2:18" s="4" customFormat="1" ht="107.25" customHeight="1" x14ac:dyDescent="0.25">
      <c r="B579" s="649">
        <v>44607</v>
      </c>
      <c r="C579" s="650"/>
      <c r="D579" s="651" t="s">
        <v>3978</v>
      </c>
      <c r="E579" s="651" t="s">
        <v>4039</v>
      </c>
      <c r="F579" s="652" t="s">
        <v>4033</v>
      </c>
      <c r="G579" s="651" t="s">
        <v>18</v>
      </c>
      <c r="H579" s="651" t="s">
        <v>1345</v>
      </c>
      <c r="I579" s="653" t="s">
        <v>3561</v>
      </c>
      <c r="J579" s="654">
        <v>9084.82</v>
      </c>
      <c r="K579" s="654">
        <v>56.690399999999997</v>
      </c>
      <c r="L579" s="655">
        <f t="shared" si="66"/>
        <v>160.25323511564568</v>
      </c>
      <c r="M579" s="628">
        <v>60</v>
      </c>
      <c r="N579" s="628">
        <f t="shared" si="70"/>
        <v>151.41366666666667</v>
      </c>
      <c r="O579" s="656">
        <f t="shared" ca="1" si="68"/>
        <v>0</v>
      </c>
      <c r="P579" s="36">
        <f t="shared" ca="1" si="65"/>
        <v>0</v>
      </c>
      <c r="Q579" s="657">
        <f t="shared" ca="1" si="62"/>
        <v>1</v>
      </c>
      <c r="R579" s="658" t="s">
        <v>3980</v>
      </c>
    </row>
    <row r="580" spans="2:18" s="4" customFormat="1" ht="107.25" customHeight="1" x14ac:dyDescent="0.25">
      <c r="B580" s="649">
        <v>44607</v>
      </c>
      <c r="C580" s="650"/>
      <c r="D580" s="651" t="s">
        <v>3978</v>
      </c>
      <c r="E580" s="651" t="s">
        <v>4040</v>
      </c>
      <c r="F580" s="652" t="s">
        <v>4033</v>
      </c>
      <c r="G580" s="651" t="s">
        <v>18</v>
      </c>
      <c r="H580" s="651" t="s">
        <v>1345</v>
      </c>
      <c r="I580" s="653" t="s">
        <v>3561</v>
      </c>
      <c r="J580" s="654">
        <v>9084.82</v>
      </c>
      <c r="K580" s="654">
        <v>56.690399999999997</v>
      </c>
      <c r="L580" s="655">
        <f t="shared" si="66"/>
        <v>160.25323511564568</v>
      </c>
      <c r="M580" s="628">
        <v>60</v>
      </c>
      <c r="N580" s="628">
        <f t="shared" si="70"/>
        <v>151.41366666666667</v>
      </c>
      <c r="O580" s="656">
        <f t="shared" ca="1" si="68"/>
        <v>0</v>
      </c>
      <c r="P580" s="36">
        <f t="shared" ca="1" si="65"/>
        <v>0</v>
      </c>
      <c r="Q580" s="657">
        <f t="shared" ca="1" si="62"/>
        <v>1</v>
      </c>
      <c r="R580" s="658" t="s">
        <v>3980</v>
      </c>
    </row>
    <row r="581" spans="2:18" s="4" customFormat="1" ht="107.25" customHeight="1" x14ac:dyDescent="0.25">
      <c r="B581" s="649">
        <v>44607</v>
      </c>
      <c r="C581" s="650"/>
      <c r="D581" s="651" t="s">
        <v>3978</v>
      </c>
      <c r="E581" s="651" t="s">
        <v>4041</v>
      </c>
      <c r="F581" s="652" t="s">
        <v>4033</v>
      </c>
      <c r="G581" s="651" t="s">
        <v>18</v>
      </c>
      <c r="H581" s="651" t="s">
        <v>1345</v>
      </c>
      <c r="I581" s="653" t="s">
        <v>3561</v>
      </c>
      <c r="J581" s="654">
        <v>9084.82</v>
      </c>
      <c r="K581" s="654">
        <v>56.690399999999997</v>
      </c>
      <c r="L581" s="655">
        <f t="shared" si="66"/>
        <v>160.25323511564568</v>
      </c>
      <c r="M581" s="628">
        <v>60</v>
      </c>
      <c r="N581" s="628">
        <f t="shared" si="70"/>
        <v>151.41366666666667</v>
      </c>
      <c r="O581" s="656">
        <f t="shared" ca="1" si="68"/>
        <v>0</v>
      </c>
      <c r="P581" s="36">
        <f t="shared" ca="1" si="65"/>
        <v>0</v>
      </c>
      <c r="Q581" s="657">
        <f t="shared" ca="1" si="62"/>
        <v>1</v>
      </c>
      <c r="R581" s="658" t="s">
        <v>3980</v>
      </c>
    </row>
    <row r="582" spans="2:18" s="4" customFormat="1" ht="107.25" customHeight="1" x14ac:dyDescent="0.25">
      <c r="B582" s="649">
        <v>44607</v>
      </c>
      <c r="C582" s="650"/>
      <c r="D582" s="651" t="s">
        <v>3978</v>
      </c>
      <c r="E582" s="651" t="s">
        <v>4042</v>
      </c>
      <c r="F582" s="652" t="s">
        <v>4033</v>
      </c>
      <c r="G582" s="651" t="s">
        <v>18</v>
      </c>
      <c r="H582" s="651" t="s">
        <v>1345</v>
      </c>
      <c r="I582" s="653" t="s">
        <v>3561</v>
      </c>
      <c r="J582" s="654">
        <v>9084.82</v>
      </c>
      <c r="K582" s="654">
        <v>56.690399999999997</v>
      </c>
      <c r="L582" s="655">
        <f t="shared" si="66"/>
        <v>160.25323511564568</v>
      </c>
      <c r="M582" s="628">
        <v>60</v>
      </c>
      <c r="N582" s="628">
        <f t="shared" si="70"/>
        <v>151.41366666666667</v>
      </c>
      <c r="O582" s="656">
        <f t="shared" ca="1" si="68"/>
        <v>0</v>
      </c>
      <c r="P582" s="36">
        <f t="shared" ca="1" si="65"/>
        <v>0</v>
      </c>
      <c r="Q582" s="657">
        <f t="shared" ca="1" si="62"/>
        <v>1</v>
      </c>
      <c r="R582" s="658" t="s">
        <v>3980</v>
      </c>
    </row>
    <row r="583" spans="2:18" s="4" customFormat="1" ht="107.25" customHeight="1" x14ac:dyDescent="0.25">
      <c r="B583" s="649">
        <v>44607</v>
      </c>
      <c r="C583" s="650"/>
      <c r="D583" s="651" t="s">
        <v>3978</v>
      </c>
      <c r="E583" s="651" t="s">
        <v>4043</v>
      </c>
      <c r="F583" s="652" t="s">
        <v>4044</v>
      </c>
      <c r="G583" s="651" t="s">
        <v>18</v>
      </c>
      <c r="H583" s="651" t="s">
        <v>1345</v>
      </c>
      <c r="I583" s="653" t="s">
        <v>3561</v>
      </c>
      <c r="J583" s="654">
        <v>90742</v>
      </c>
      <c r="K583" s="654">
        <v>56.690399999999997</v>
      </c>
      <c r="L583" s="655">
        <f t="shared" si="66"/>
        <v>1600.6590181053584</v>
      </c>
      <c r="M583" s="628">
        <v>60</v>
      </c>
      <c r="N583" s="628">
        <f t="shared" si="70"/>
        <v>1512.3666666666666</v>
      </c>
      <c r="O583" s="656">
        <f t="shared" ca="1" si="68"/>
        <v>0</v>
      </c>
      <c r="P583" s="36">
        <f t="shared" ca="1" si="65"/>
        <v>0</v>
      </c>
      <c r="Q583" s="657">
        <f t="shared" ca="1" si="62"/>
        <v>1</v>
      </c>
      <c r="R583" s="658" t="s">
        <v>3980</v>
      </c>
    </row>
    <row r="584" spans="2:18" s="4" customFormat="1" ht="107.25" customHeight="1" x14ac:dyDescent="0.25">
      <c r="B584" s="620">
        <v>44607</v>
      </c>
      <c r="C584" s="621"/>
      <c r="D584" s="622" t="s">
        <v>3978</v>
      </c>
      <c r="E584" s="622" t="s">
        <v>4045</v>
      </c>
      <c r="F584" s="623" t="s">
        <v>4044</v>
      </c>
      <c r="G584" s="622" t="s">
        <v>18</v>
      </c>
      <c r="H584" s="622" t="s">
        <v>1345</v>
      </c>
      <c r="I584" s="630" t="s">
        <v>3561</v>
      </c>
      <c r="J584" s="625">
        <v>90742</v>
      </c>
      <c r="K584" s="625">
        <v>56.690399999999997</v>
      </c>
      <c r="L584" s="626">
        <f t="shared" si="66"/>
        <v>1600.6590181053584</v>
      </c>
      <c r="M584" s="627">
        <v>60</v>
      </c>
      <c r="N584" s="628">
        <f t="shared" si="70"/>
        <v>1512.3666666666666</v>
      </c>
      <c r="O584" s="629">
        <f t="shared" ca="1" si="68"/>
        <v>0</v>
      </c>
      <c r="P584" s="36">
        <f t="shared" ca="1" si="65"/>
        <v>0</v>
      </c>
      <c r="Q584" s="469">
        <f t="shared" ca="1" si="62"/>
        <v>1</v>
      </c>
      <c r="R584" s="638" t="s">
        <v>3980</v>
      </c>
    </row>
    <row r="585" spans="2:18" s="4" customFormat="1" ht="107.25" customHeight="1" x14ac:dyDescent="0.25">
      <c r="B585" s="620">
        <v>44607</v>
      </c>
      <c r="C585" s="621"/>
      <c r="D585" s="622" t="s">
        <v>3978</v>
      </c>
      <c r="E585" s="622" t="s">
        <v>4046</v>
      </c>
      <c r="F585" s="623" t="s">
        <v>4047</v>
      </c>
      <c r="G585" s="622" t="s">
        <v>18</v>
      </c>
      <c r="H585" s="622" t="s">
        <v>1345</v>
      </c>
      <c r="I585" s="630" t="s">
        <v>3561</v>
      </c>
      <c r="J585" s="625">
        <v>5074</v>
      </c>
      <c r="K585" s="625">
        <v>56.690399999999997</v>
      </c>
      <c r="L585" s="626">
        <f t="shared" si="66"/>
        <v>89.503690219155274</v>
      </c>
      <c r="M585" s="627">
        <v>60</v>
      </c>
      <c r="N585" s="628">
        <f t="shared" si="70"/>
        <v>84.566666666666663</v>
      </c>
      <c r="O585" s="629">
        <f t="shared" ca="1" si="68"/>
        <v>0</v>
      </c>
      <c r="P585" s="36">
        <f t="shared" ref="P585:P648" ca="1" si="71">IF(OR(J585=0,M585=0,O585=0),0,J585-(N585*O585))</f>
        <v>0</v>
      </c>
      <c r="Q585" s="469">
        <f t="shared" ca="1" si="62"/>
        <v>1</v>
      </c>
      <c r="R585" s="638" t="s">
        <v>3980</v>
      </c>
    </row>
    <row r="586" spans="2:18" s="4" customFormat="1" ht="107.25" customHeight="1" x14ac:dyDescent="0.25">
      <c r="B586" s="620">
        <v>44607</v>
      </c>
      <c r="C586" s="621"/>
      <c r="D586" s="622" t="s">
        <v>3978</v>
      </c>
      <c r="E586" s="622" t="s">
        <v>4048</v>
      </c>
      <c r="F586" s="623" t="s">
        <v>4047</v>
      </c>
      <c r="G586" s="622" t="s">
        <v>18</v>
      </c>
      <c r="H586" s="622" t="s">
        <v>1345</v>
      </c>
      <c r="I586" s="630" t="s">
        <v>3561</v>
      </c>
      <c r="J586" s="625">
        <v>5074</v>
      </c>
      <c r="K586" s="625">
        <v>56.690399999999997</v>
      </c>
      <c r="L586" s="626">
        <f t="shared" si="66"/>
        <v>89.503690219155274</v>
      </c>
      <c r="M586" s="627">
        <v>60</v>
      </c>
      <c r="N586" s="628">
        <f t="shared" si="70"/>
        <v>84.566666666666663</v>
      </c>
      <c r="O586" s="629">
        <f t="shared" ca="1" si="68"/>
        <v>0</v>
      </c>
      <c r="P586" s="36">
        <f t="shared" ca="1" si="71"/>
        <v>0</v>
      </c>
      <c r="Q586" s="469">
        <f t="shared" ca="1" si="62"/>
        <v>1</v>
      </c>
      <c r="R586" s="638" t="s">
        <v>3980</v>
      </c>
    </row>
    <row r="587" spans="2:18" s="4" customFormat="1" ht="107.25" customHeight="1" x14ac:dyDescent="0.25">
      <c r="B587" s="620">
        <v>44607</v>
      </c>
      <c r="C587" s="621"/>
      <c r="D587" s="622" t="s">
        <v>3978</v>
      </c>
      <c r="E587" s="622" t="s">
        <v>4049</v>
      </c>
      <c r="F587" s="623" t="s">
        <v>4047</v>
      </c>
      <c r="G587" s="622" t="s">
        <v>18</v>
      </c>
      <c r="H587" s="622" t="s">
        <v>1345</v>
      </c>
      <c r="I587" s="630" t="s">
        <v>3561</v>
      </c>
      <c r="J587" s="625">
        <v>5074</v>
      </c>
      <c r="K587" s="625">
        <v>56.690399999999997</v>
      </c>
      <c r="L587" s="626">
        <f t="shared" si="66"/>
        <v>89.503690219155274</v>
      </c>
      <c r="M587" s="627">
        <v>60</v>
      </c>
      <c r="N587" s="628">
        <f t="shared" si="70"/>
        <v>84.566666666666663</v>
      </c>
      <c r="O587" s="629">
        <f t="shared" ca="1" si="68"/>
        <v>0</v>
      </c>
      <c r="P587" s="36">
        <f t="shared" ca="1" si="71"/>
        <v>0</v>
      </c>
      <c r="Q587" s="469">
        <f t="shared" ca="1" si="62"/>
        <v>1</v>
      </c>
      <c r="R587" s="638" t="s">
        <v>3980</v>
      </c>
    </row>
    <row r="588" spans="2:18" s="4" customFormat="1" ht="107.25" customHeight="1" x14ac:dyDescent="0.25">
      <c r="B588" s="620">
        <v>44607</v>
      </c>
      <c r="C588" s="621"/>
      <c r="D588" s="622" t="s">
        <v>3978</v>
      </c>
      <c r="E588" s="622" t="s">
        <v>4050</v>
      </c>
      <c r="F588" s="623" t="s">
        <v>4047</v>
      </c>
      <c r="G588" s="622" t="s">
        <v>18</v>
      </c>
      <c r="H588" s="622" t="s">
        <v>1345</v>
      </c>
      <c r="I588" s="630" t="s">
        <v>3561</v>
      </c>
      <c r="J588" s="625">
        <v>5074</v>
      </c>
      <c r="K588" s="625">
        <v>56.690399999999997</v>
      </c>
      <c r="L588" s="626">
        <f t="shared" si="66"/>
        <v>89.503690219155274</v>
      </c>
      <c r="M588" s="627">
        <v>60</v>
      </c>
      <c r="N588" s="628">
        <f t="shared" si="70"/>
        <v>84.566666666666663</v>
      </c>
      <c r="O588" s="629">
        <f t="shared" ca="1" si="68"/>
        <v>0</v>
      </c>
      <c r="P588" s="36">
        <f t="shared" ca="1" si="71"/>
        <v>0</v>
      </c>
      <c r="Q588" s="469">
        <f t="shared" ca="1" si="62"/>
        <v>1</v>
      </c>
      <c r="R588" s="638" t="s">
        <v>3980</v>
      </c>
    </row>
    <row r="589" spans="2:18" s="4" customFormat="1" ht="107.25" customHeight="1" x14ac:dyDescent="0.25">
      <c r="B589" s="620">
        <v>44607</v>
      </c>
      <c r="C589" s="621"/>
      <c r="D589" s="622" t="s">
        <v>3978</v>
      </c>
      <c r="E589" s="622" t="s">
        <v>4051</v>
      </c>
      <c r="F589" s="623" t="s">
        <v>4047</v>
      </c>
      <c r="G589" s="622" t="s">
        <v>18</v>
      </c>
      <c r="H589" s="622" t="s">
        <v>1345</v>
      </c>
      <c r="I589" s="630" t="s">
        <v>3561</v>
      </c>
      <c r="J589" s="625">
        <v>5074</v>
      </c>
      <c r="K589" s="625">
        <v>56.690399999999997</v>
      </c>
      <c r="L589" s="626">
        <f t="shared" ref="L589:L623" si="72">+J589/K589</f>
        <v>89.503690219155274</v>
      </c>
      <c r="M589" s="627">
        <v>60</v>
      </c>
      <c r="N589" s="628">
        <f t="shared" si="70"/>
        <v>84.566666666666663</v>
      </c>
      <c r="O589" s="629">
        <f t="shared" ref="O589:O623" ca="1" si="73">IF(C589&lt;&gt;0,(ROUND((NOW()-C589)/30,0)),0)</f>
        <v>0</v>
      </c>
      <c r="P589" s="36">
        <f t="shared" ca="1" si="71"/>
        <v>0</v>
      </c>
      <c r="Q589" s="469">
        <f t="shared" ca="1" si="62"/>
        <v>1</v>
      </c>
      <c r="R589" s="638" t="s">
        <v>3980</v>
      </c>
    </row>
    <row r="590" spans="2:18" s="4" customFormat="1" ht="107.25" customHeight="1" x14ac:dyDescent="0.25">
      <c r="B590" s="620">
        <v>44607</v>
      </c>
      <c r="C590" s="621"/>
      <c r="D590" s="622" t="s">
        <v>3978</v>
      </c>
      <c r="E590" s="622" t="s">
        <v>4052</v>
      </c>
      <c r="F590" s="623" t="s">
        <v>4047</v>
      </c>
      <c r="G590" s="622" t="s">
        <v>18</v>
      </c>
      <c r="H590" s="622" t="s">
        <v>1345</v>
      </c>
      <c r="I590" s="630" t="s">
        <v>3561</v>
      </c>
      <c r="J590" s="625">
        <v>5074</v>
      </c>
      <c r="K590" s="625">
        <v>56.690399999999997</v>
      </c>
      <c r="L590" s="626">
        <f t="shared" si="72"/>
        <v>89.503690219155274</v>
      </c>
      <c r="M590" s="627">
        <v>60</v>
      </c>
      <c r="N590" s="628">
        <f t="shared" si="70"/>
        <v>84.566666666666663</v>
      </c>
      <c r="O590" s="629">
        <f t="shared" ca="1" si="73"/>
        <v>0</v>
      </c>
      <c r="P590" s="36">
        <f t="shared" ca="1" si="71"/>
        <v>0</v>
      </c>
      <c r="Q590" s="469">
        <f t="shared" ca="1" si="62"/>
        <v>1</v>
      </c>
      <c r="R590" s="638" t="s">
        <v>3980</v>
      </c>
    </row>
    <row r="591" spans="2:18" s="4" customFormat="1" ht="107.25" customHeight="1" x14ac:dyDescent="0.25">
      <c r="B591" s="620">
        <v>44607</v>
      </c>
      <c r="C591" s="621"/>
      <c r="D591" s="622" t="s">
        <v>3978</v>
      </c>
      <c r="E591" s="622" t="s">
        <v>4053</v>
      </c>
      <c r="F591" s="623" t="s">
        <v>4047</v>
      </c>
      <c r="G591" s="622" t="s">
        <v>18</v>
      </c>
      <c r="H591" s="622" t="s">
        <v>1345</v>
      </c>
      <c r="I591" s="630" t="s">
        <v>3561</v>
      </c>
      <c r="J591" s="625">
        <v>5074</v>
      </c>
      <c r="K591" s="625">
        <v>56.690399999999997</v>
      </c>
      <c r="L591" s="626">
        <f t="shared" si="72"/>
        <v>89.503690219155274</v>
      </c>
      <c r="M591" s="627">
        <v>60</v>
      </c>
      <c r="N591" s="628">
        <f t="shared" si="70"/>
        <v>84.566666666666663</v>
      </c>
      <c r="O591" s="629">
        <f t="shared" ca="1" si="73"/>
        <v>0</v>
      </c>
      <c r="P591" s="36">
        <f t="shared" ca="1" si="71"/>
        <v>0</v>
      </c>
      <c r="Q591" s="469">
        <f t="shared" ca="1" si="62"/>
        <v>1</v>
      </c>
      <c r="R591" s="638" t="s">
        <v>3980</v>
      </c>
    </row>
    <row r="592" spans="2:18" s="4" customFormat="1" ht="107.25" customHeight="1" x14ac:dyDescent="0.25">
      <c r="B592" s="620">
        <v>44607</v>
      </c>
      <c r="C592" s="621"/>
      <c r="D592" s="622" t="s">
        <v>3978</v>
      </c>
      <c r="E592" s="622" t="s">
        <v>4054</v>
      </c>
      <c r="F592" s="623" t="s">
        <v>4047</v>
      </c>
      <c r="G592" s="622" t="s">
        <v>18</v>
      </c>
      <c r="H592" s="622" t="s">
        <v>1345</v>
      </c>
      <c r="I592" s="630" t="s">
        <v>3561</v>
      </c>
      <c r="J592" s="625">
        <v>5074</v>
      </c>
      <c r="K592" s="625">
        <v>56.690399999999997</v>
      </c>
      <c r="L592" s="626">
        <f t="shared" si="72"/>
        <v>89.503690219155274</v>
      </c>
      <c r="M592" s="627">
        <v>60</v>
      </c>
      <c r="N592" s="628">
        <f t="shared" si="70"/>
        <v>84.566666666666663</v>
      </c>
      <c r="O592" s="629">
        <f t="shared" ca="1" si="73"/>
        <v>0</v>
      </c>
      <c r="P592" s="36">
        <f t="shared" ca="1" si="71"/>
        <v>0</v>
      </c>
      <c r="Q592" s="469">
        <f t="shared" ca="1" si="62"/>
        <v>1</v>
      </c>
      <c r="R592" s="638" t="s">
        <v>3980</v>
      </c>
    </row>
    <row r="593" spans="2:18" s="4" customFormat="1" ht="107.25" customHeight="1" x14ac:dyDescent="0.25">
      <c r="B593" s="620">
        <v>44607</v>
      </c>
      <c r="C593" s="621"/>
      <c r="D593" s="622" t="s">
        <v>3978</v>
      </c>
      <c r="E593" s="622" t="s">
        <v>4055</v>
      </c>
      <c r="F593" s="623" t="s">
        <v>4047</v>
      </c>
      <c r="G593" s="622" t="s">
        <v>18</v>
      </c>
      <c r="H593" s="622" t="s">
        <v>1345</v>
      </c>
      <c r="I593" s="630" t="s">
        <v>3561</v>
      </c>
      <c r="J593" s="625">
        <v>5074</v>
      </c>
      <c r="K593" s="625">
        <v>56.690399999999997</v>
      </c>
      <c r="L593" s="626">
        <f t="shared" si="72"/>
        <v>89.503690219155274</v>
      </c>
      <c r="M593" s="627">
        <v>60</v>
      </c>
      <c r="N593" s="628">
        <f t="shared" si="70"/>
        <v>84.566666666666663</v>
      </c>
      <c r="O593" s="629">
        <f t="shared" ca="1" si="73"/>
        <v>0</v>
      </c>
      <c r="P593" s="36">
        <f t="shared" ca="1" si="71"/>
        <v>0</v>
      </c>
      <c r="Q593" s="469">
        <f t="shared" ca="1" si="62"/>
        <v>1</v>
      </c>
      <c r="R593" s="638" t="s">
        <v>3980</v>
      </c>
    </row>
    <row r="594" spans="2:18" s="4" customFormat="1" ht="107.25" customHeight="1" x14ac:dyDescent="0.25">
      <c r="B594" s="620">
        <v>44607</v>
      </c>
      <c r="C594" s="621"/>
      <c r="D594" s="622" t="s">
        <v>3978</v>
      </c>
      <c r="E594" s="622" t="s">
        <v>4056</v>
      </c>
      <c r="F594" s="623" t="s">
        <v>4047</v>
      </c>
      <c r="G594" s="622" t="s">
        <v>18</v>
      </c>
      <c r="H594" s="622" t="s">
        <v>1345</v>
      </c>
      <c r="I594" s="630" t="s">
        <v>3561</v>
      </c>
      <c r="J594" s="625">
        <v>5074</v>
      </c>
      <c r="K594" s="625">
        <v>56.690399999999997</v>
      </c>
      <c r="L594" s="626">
        <f t="shared" si="72"/>
        <v>89.503690219155274</v>
      </c>
      <c r="M594" s="627">
        <v>60</v>
      </c>
      <c r="N594" s="628">
        <f t="shared" si="70"/>
        <v>84.566666666666663</v>
      </c>
      <c r="O594" s="629">
        <f t="shared" ca="1" si="73"/>
        <v>0</v>
      </c>
      <c r="P594" s="36">
        <f t="shared" ca="1" si="71"/>
        <v>0</v>
      </c>
      <c r="Q594" s="469">
        <f t="shared" ca="1" si="62"/>
        <v>1</v>
      </c>
      <c r="R594" s="638" t="s">
        <v>3980</v>
      </c>
    </row>
    <row r="595" spans="2:18" s="4" customFormat="1" ht="107.25" customHeight="1" x14ac:dyDescent="0.25">
      <c r="B595" s="620">
        <v>44607</v>
      </c>
      <c r="C595" s="621"/>
      <c r="D595" s="622" t="s">
        <v>3978</v>
      </c>
      <c r="E595" s="622" t="s">
        <v>4057</v>
      </c>
      <c r="F595" s="623" t="s">
        <v>4047</v>
      </c>
      <c r="G595" s="622" t="s">
        <v>18</v>
      </c>
      <c r="H595" s="622" t="s">
        <v>1345</v>
      </c>
      <c r="I595" s="630" t="s">
        <v>3561</v>
      </c>
      <c r="J595" s="625">
        <v>5074</v>
      </c>
      <c r="K595" s="625">
        <v>56.690399999999997</v>
      </c>
      <c r="L595" s="626">
        <f t="shared" si="72"/>
        <v>89.503690219155274</v>
      </c>
      <c r="M595" s="627">
        <v>60</v>
      </c>
      <c r="N595" s="628">
        <f t="shared" si="70"/>
        <v>84.566666666666663</v>
      </c>
      <c r="O595" s="629">
        <f t="shared" ca="1" si="73"/>
        <v>0</v>
      </c>
      <c r="P595" s="36">
        <f t="shared" ca="1" si="71"/>
        <v>0</v>
      </c>
      <c r="Q595" s="469">
        <f t="shared" ca="1" si="62"/>
        <v>1</v>
      </c>
      <c r="R595" s="638" t="s">
        <v>3980</v>
      </c>
    </row>
    <row r="596" spans="2:18" s="4" customFormat="1" ht="107.25" customHeight="1" x14ac:dyDescent="0.25">
      <c r="B596" s="620">
        <v>44607</v>
      </c>
      <c r="C596" s="621"/>
      <c r="D596" s="622" t="s">
        <v>3978</v>
      </c>
      <c r="E596" s="622" t="s">
        <v>4058</v>
      </c>
      <c r="F596" s="623" t="s">
        <v>4047</v>
      </c>
      <c r="G596" s="622" t="s">
        <v>18</v>
      </c>
      <c r="H596" s="622" t="s">
        <v>1345</v>
      </c>
      <c r="I596" s="630" t="s">
        <v>3561</v>
      </c>
      <c r="J596" s="625">
        <v>5074</v>
      </c>
      <c r="K596" s="625">
        <v>56.690399999999997</v>
      </c>
      <c r="L596" s="626">
        <f t="shared" si="72"/>
        <v>89.503690219155274</v>
      </c>
      <c r="M596" s="627">
        <v>60</v>
      </c>
      <c r="N596" s="628">
        <f t="shared" si="70"/>
        <v>84.566666666666663</v>
      </c>
      <c r="O596" s="629">
        <f t="shared" ca="1" si="73"/>
        <v>0</v>
      </c>
      <c r="P596" s="36">
        <f t="shared" ca="1" si="71"/>
        <v>0</v>
      </c>
      <c r="Q596" s="469">
        <f t="shared" ca="1" si="62"/>
        <v>1</v>
      </c>
      <c r="R596" s="638" t="s">
        <v>3980</v>
      </c>
    </row>
    <row r="597" spans="2:18" s="4" customFormat="1" ht="107.25" customHeight="1" x14ac:dyDescent="0.25">
      <c r="B597" s="620">
        <v>44607</v>
      </c>
      <c r="C597" s="621"/>
      <c r="D597" s="622" t="s">
        <v>3978</v>
      </c>
      <c r="E597" s="622" t="s">
        <v>4059</v>
      </c>
      <c r="F597" s="623" t="s">
        <v>4060</v>
      </c>
      <c r="G597" s="622" t="s">
        <v>18</v>
      </c>
      <c r="H597" s="622" t="s">
        <v>1345</v>
      </c>
      <c r="I597" s="630" t="s">
        <v>3561</v>
      </c>
      <c r="J597" s="625">
        <v>14130.5</v>
      </c>
      <c r="K597" s="625">
        <v>56.690399999999997</v>
      </c>
      <c r="L597" s="626">
        <f t="shared" si="72"/>
        <v>249.257369854508</v>
      </c>
      <c r="M597" s="627">
        <v>60</v>
      </c>
      <c r="N597" s="628">
        <f t="shared" si="70"/>
        <v>235.50833333333333</v>
      </c>
      <c r="O597" s="629">
        <f t="shared" ca="1" si="73"/>
        <v>0</v>
      </c>
      <c r="P597" s="36">
        <f t="shared" ca="1" si="71"/>
        <v>0</v>
      </c>
      <c r="Q597" s="469">
        <f t="shared" ca="1" si="62"/>
        <v>1</v>
      </c>
      <c r="R597" s="638" t="s">
        <v>3980</v>
      </c>
    </row>
    <row r="598" spans="2:18" s="4" customFormat="1" ht="107.25" customHeight="1" x14ac:dyDescent="0.25">
      <c r="B598" s="620">
        <v>44607</v>
      </c>
      <c r="C598" s="621"/>
      <c r="D598" s="622" t="s">
        <v>3978</v>
      </c>
      <c r="E598" s="622" t="s">
        <v>4061</v>
      </c>
      <c r="F598" s="623" t="s">
        <v>4060</v>
      </c>
      <c r="G598" s="622" t="s">
        <v>18</v>
      </c>
      <c r="H598" s="622" t="s">
        <v>1345</v>
      </c>
      <c r="I598" s="630" t="s">
        <v>3561</v>
      </c>
      <c r="J598" s="625">
        <v>14130.5</v>
      </c>
      <c r="K598" s="625">
        <v>56.690399999999997</v>
      </c>
      <c r="L598" s="626">
        <f t="shared" si="72"/>
        <v>249.257369854508</v>
      </c>
      <c r="M598" s="627">
        <v>60</v>
      </c>
      <c r="N598" s="628">
        <f t="shared" si="70"/>
        <v>235.50833333333333</v>
      </c>
      <c r="O598" s="629">
        <f t="shared" ca="1" si="73"/>
        <v>0</v>
      </c>
      <c r="P598" s="36">
        <f t="shared" ca="1" si="71"/>
        <v>0</v>
      </c>
      <c r="Q598" s="469">
        <f t="shared" ca="1" si="62"/>
        <v>1</v>
      </c>
      <c r="R598" s="638" t="s">
        <v>3980</v>
      </c>
    </row>
    <row r="599" spans="2:18" s="4" customFormat="1" ht="107.25" customHeight="1" x14ac:dyDescent="0.25">
      <c r="B599" s="620">
        <v>44607</v>
      </c>
      <c r="C599" s="621"/>
      <c r="D599" s="622" t="s">
        <v>3978</v>
      </c>
      <c r="E599" s="622" t="s">
        <v>4062</v>
      </c>
      <c r="F599" s="623" t="s">
        <v>4060</v>
      </c>
      <c r="G599" s="622" t="s">
        <v>18</v>
      </c>
      <c r="H599" s="622" t="s">
        <v>1345</v>
      </c>
      <c r="I599" s="630" t="s">
        <v>3561</v>
      </c>
      <c r="J599" s="625">
        <v>14130.5</v>
      </c>
      <c r="K599" s="625">
        <v>56.690399999999997</v>
      </c>
      <c r="L599" s="626">
        <f t="shared" si="72"/>
        <v>249.257369854508</v>
      </c>
      <c r="M599" s="627">
        <v>60</v>
      </c>
      <c r="N599" s="628">
        <f t="shared" si="70"/>
        <v>235.50833333333333</v>
      </c>
      <c r="O599" s="629">
        <f t="shared" ca="1" si="73"/>
        <v>0</v>
      </c>
      <c r="P599" s="36">
        <f t="shared" ca="1" si="71"/>
        <v>0</v>
      </c>
      <c r="Q599" s="469">
        <f t="shared" ca="1" si="62"/>
        <v>1</v>
      </c>
      <c r="R599" s="638" t="s">
        <v>3980</v>
      </c>
    </row>
    <row r="600" spans="2:18" s="4" customFormat="1" ht="107.25" customHeight="1" x14ac:dyDescent="0.25">
      <c r="B600" s="620">
        <v>44607</v>
      </c>
      <c r="C600" s="621"/>
      <c r="D600" s="622" t="s">
        <v>3978</v>
      </c>
      <c r="E600" s="622" t="s">
        <v>4063</v>
      </c>
      <c r="F600" s="623" t="s">
        <v>4060</v>
      </c>
      <c r="G600" s="622" t="s">
        <v>18</v>
      </c>
      <c r="H600" s="622" t="s">
        <v>1345</v>
      </c>
      <c r="I600" s="630" t="s">
        <v>3561</v>
      </c>
      <c r="J600" s="625">
        <v>14130.5</v>
      </c>
      <c r="K600" s="625">
        <v>56.690399999999997</v>
      </c>
      <c r="L600" s="626">
        <f t="shared" si="72"/>
        <v>249.257369854508</v>
      </c>
      <c r="M600" s="627">
        <v>60</v>
      </c>
      <c r="N600" s="628">
        <f t="shared" si="70"/>
        <v>235.50833333333333</v>
      </c>
      <c r="O600" s="629">
        <f t="shared" ca="1" si="73"/>
        <v>0</v>
      </c>
      <c r="P600" s="36">
        <f t="shared" ca="1" si="71"/>
        <v>0</v>
      </c>
      <c r="Q600" s="469">
        <f t="shared" ca="1" si="62"/>
        <v>1</v>
      </c>
      <c r="R600" s="638" t="s">
        <v>3980</v>
      </c>
    </row>
    <row r="601" spans="2:18" s="4" customFormat="1" ht="107.25" customHeight="1" x14ac:dyDescent="0.25">
      <c r="B601" s="620">
        <v>44607</v>
      </c>
      <c r="C601" s="621"/>
      <c r="D601" s="622" t="s">
        <v>3978</v>
      </c>
      <c r="E601" s="622" t="s">
        <v>4064</v>
      </c>
      <c r="F601" s="623" t="s">
        <v>4060</v>
      </c>
      <c r="G601" s="622" t="s">
        <v>18</v>
      </c>
      <c r="H601" s="622" t="s">
        <v>1345</v>
      </c>
      <c r="I601" s="630" t="s">
        <v>3561</v>
      </c>
      <c r="J601" s="625">
        <v>14130.5</v>
      </c>
      <c r="K601" s="625">
        <v>56.690399999999997</v>
      </c>
      <c r="L601" s="626">
        <f t="shared" si="72"/>
        <v>249.257369854508</v>
      </c>
      <c r="M601" s="627">
        <v>60</v>
      </c>
      <c r="N601" s="628">
        <f t="shared" si="70"/>
        <v>235.50833333333333</v>
      </c>
      <c r="O601" s="629">
        <f t="shared" ca="1" si="73"/>
        <v>0</v>
      </c>
      <c r="P601" s="36">
        <f t="shared" ca="1" si="71"/>
        <v>0</v>
      </c>
      <c r="Q601" s="469">
        <f t="shared" ca="1" si="62"/>
        <v>1</v>
      </c>
      <c r="R601" s="638" t="s">
        <v>3980</v>
      </c>
    </row>
    <row r="602" spans="2:18" s="4" customFormat="1" ht="107.25" customHeight="1" x14ac:dyDescent="0.25">
      <c r="B602" s="620">
        <v>44607</v>
      </c>
      <c r="C602" s="621"/>
      <c r="D602" s="622" t="s">
        <v>3978</v>
      </c>
      <c r="E602" s="622" t="s">
        <v>4065</v>
      </c>
      <c r="F602" s="623" t="s">
        <v>4060</v>
      </c>
      <c r="G602" s="622" t="s">
        <v>18</v>
      </c>
      <c r="H602" s="622" t="s">
        <v>1345</v>
      </c>
      <c r="I602" s="630" t="s">
        <v>3561</v>
      </c>
      <c r="J602" s="625">
        <v>14130.5</v>
      </c>
      <c r="K602" s="625">
        <v>56.690399999999997</v>
      </c>
      <c r="L602" s="626">
        <f t="shared" si="72"/>
        <v>249.257369854508</v>
      </c>
      <c r="M602" s="627">
        <v>60</v>
      </c>
      <c r="N602" s="628">
        <f t="shared" si="70"/>
        <v>235.50833333333333</v>
      </c>
      <c r="O602" s="629">
        <f t="shared" ca="1" si="73"/>
        <v>0</v>
      </c>
      <c r="P602" s="36">
        <f t="shared" ca="1" si="71"/>
        <v>0</v>
      </c>
      <c r="Q602" s="469">
        <f t="shared" ca="1" si="62"/>
        <v>1</v>
      </c>
      <c r="R602" s="638" t="s">
        <v>3980</v>
      </c>
    </row>
    <row r="603" spans="2:18" s="4" customFormat="1" ht="107.25" customHeight="1" x14ac:dyDescent="0.25">
      <c r="B603" s="620">
        <v>44607</v>
      </c>
      <c r="C603" s="621"/>
      <c r="D603" s="622" t="s">
        <v>3978</v>
      </c>
      <c r="E603" s="622" t="s">
        <v>4066</v>
      </c>
      <c r="F603" s="623" t="s">
        <v>4060</v>
      </c>
      <c r="G603" s="622" t="s">
        <v>18</v>
      </c>
      <c r="H603" s="622" t="s">
        <v>1345</v>
      </c>
      <c r="I603" s="630" t="s">
        <v>3561</v>
      </c>
      <c r="J603" s="625">
        <v>14130.5</v>
      </c>
      <c r="K603" s="625">
        <v>56.690399999999997</v>
      </c>
      <c r="L603" s="626">
        <f t="shared" si="72"/>
        <v>249.257369854508</v>
      </c>
      <c r="M603" s="627">
        <v>60</v>
      </c>
      <c r="N603" s="628">
        <f t="shared" si="70"/>
        <v>235.50833333333333</v>
      </c>
      <c r="O603" s="629">
        <f t="shared" ca="1" si="73"/>
        <v>0</v>
      </c>
      <c r="P603" s="36">
        <f t="shared" ca="1" si="71"/>
        <v>0</v>
      </c>
      <c r="Q603" s="469">
        <f t="shared" ca="1" si="62"/>
        <v>1</v>
      </c>
      <c r="R603" s="638" t="s">
        <v>3980</v>
      </c>
    </row>
    <row r="604" spans="2:18" s="4" customFormat="1" ht="107.25" customHeight="1" x14ac:dyDescent="0.25">
      <c r="B604" s="620">
        <v>44607</v>
      </c>
      <c r="C604" s="621"/>
      <c r="D604" s="622" t="s">
        <v>3978</v>
      </c>
      <c r="E604" s="622" t="s">
        <v>4067</v>
      </c>
      <c r="F604" s="623" t="s">
        <v>4060</v>
      </c>
      <c r="G604" s="622" t="s">
        <v>18</v>
      </c>
      <c r="H604" s="622" t="s">
        <v>1345</v>
      </c>
      <c r="I604" s="630" t="s">
        <v>3561</v>
      </c>
      <c r="J604" s="625">
        <v>14130.5</v>
      </c>
      <c r="K604" s="625">
        <v>56.690399999999997</v>
      </c>
      <c r="L604" s="626">
        <f t="shared" si="72"/>
        <v>249.257369854508</v>
      </c>
      <c r="M604" s="627">
        <v>60</v>
      </c>
      <c r="N604" s="628">
        <f t="shared" si="70"/>
        <v>235.50833333333333</v>
      </c>
      <c r="O604" s="629">
        <f t="shared" ca="1" si="73"/>
        <v>0</v>
      </c>
      <c r="P604" s="36">
        <f t="shared" ca="1" si="71"/>
        <v>0</v>
      </c>
      <c r="Q604" s="469">
        <f t="shared" ca="1" si="62"/>
        <v>1</v>
      </c>
      <c r="R604" s="638" t="s">
        <v>3980</v>
      </c>
    </row>
    <row r="605" spans="2:18" s="4" customFormat="1" ht="107.25" customHeight="1" x14ac:dyDescent="0.25">
      <c r="B605" s="620">
        <v>44607</v>
      </c>
      <c r="C605" s="621"/>
      <c r="D605" s="622" t="s">
        <v>3978</v>
      </c>
      <c r="E605" s="622" t="s">
        <v>4068</v>
      </c>
      <c r="F605" s="623" t="s">
        <v>4069</v>
      </c>
      <c r="G605" s="622" t="s">
        <v>18</v>
      </c>
      <c r="H605" s="622" t="s">
        <v>1345</v>
      </c>
      <c r="I605" s="630" t="s">
        <v>3561</v>
      </c>
      <c r="J605" s="625">
        <v>14779.5</v>
      </c>
      <c r="K605" s="625">
        <v>56.690399999999997</v>
      </c>
      <c r="L605" s="626">
        <f t="shared" si="72"/>
        <v>260.70551627788831</v>
      </c>
      <c r="M605" s="627">
        <v>60</v>
      </c>
      <c r="N605" s="628">
        <f t="shared" si="70"/>
        <v>246.32499999999999</v>
      </c>
      <c r="O605" s="629">
        <f t="shared" ca="1" si="73"/>
        <v>0</v>
      </c>
      <c r="P605" s="36">
        <f t="shared" ca="1" si="71"/>
        <v>0</v>
      </c>
      <c r="Q605" s="469">
        <f t="shared" ca="1" si="62"/>
        <v>1</v>
      </c>
      <c r="R605" s="638" t="s">
        <v>3980</v>
      </c>
    </row>
    <row r="606" spans="2:18" s="4" customFormat="1" ht="107.25" customHeight="1" x14ac:dyDescent="0.25">
      <c r="B606" s="620">
        <v>44607</v>
      </c>
      <c r="C606" s="621"/>
      <c r="D606" s="622" t="s">
        <v>3978</v>
      </c>
      <c r="E606" s="622" t="s">
        <v>4070</v>
      </c>
      <c r="F606" s="623" t="s">
        <v>4071</v>
      </c>
      <c r="G606" s="622" t="s">
        <v>18</v>
      </c>
      <c r="H606" s="622" t="s">
        <v>1345</v>
      </c>
      <c r="I606" s="630" t="s">
        <v>3561</v>
      </c>
      <c r="J606" s="625">
        <v>9434.1</v>
      </c>
      <c r="K606" s="625">
        <v>56.690399999999997</v>
      </c>
      <c r="L606" s="626">
        <f t="shared" si="72"/>
        <v>166.41441937259219</v>
      </c>
      <c r="M606" s="627">
        <v>60</v>
      </c>
      <c r="N606" s="628">
        <f t="shared" si="70"/>
        <v>157.23500000000001</v>
      </c>
      <c r="O606" s="629">
        <f t="shared" ca="1" si="73"/>
        <v>0</v>
      </c>
      <c r="P606" s="36">
        <f t="shared" ca="1" si="71"/>
        <v>0</v>
      </c>
      <c r="Q606" s="469">
        <f t="shared" ca="1" si="62"/>
        <v>1</v>
      </c>
      <c r="R606" s="638" t="s">
        <v>3980</v>
      </c>
    </row>
    <row r="607" spans="2:18" s="4" customFormat="1" ht="107.25" customHeight="1" x14ac:dyDescent="0.25">
      <c r="B607" s="620">
        <v>44607</v>
      </c>
      <c r="C607" s="621"/>
      <c r="D607" s="622" t="s">
        <v>3978</v>
      </c>
      <c r="E607" s="622" t="s">
        <v>4072</v>
      </c>
      <c r="F607" s="623" t="s">
        <v>4071</v>
      </c>
      <c r="G607" s="622" t="s">
        <v>18</v>
      </c>
      <c r="H607" s="622" t="s">
        <v>1345</v>
      </c>
      <c r="I607" s="630" t="s">
        <v>3561</v>
      </c>
      <c r="J607" s="625">
        <v>9434.1</v>
      </c>
      <c r="K607" s="625">
        <v>56.690399999999997</v>
      </c>
      <c r="L607" s="626">
        <f t="shared" si="72"/>
        <v>166.41441937259219</v>
      </c>
      <c r="M607" s="627">
        <v>60</v>
      </c>
      <c r="N607" s="628">
        <f t="shared" si="70"/>
        <v>157.23500000000001</v>
      </c>
      <c r="O607" s="629">
        <f t="shared" ca="1" si="73"/>
        <v>0</v>
      </c>
      <c r="P607" s="36">
        <f t="shared" ca="1" si="71"/>
        <v>0</v>
      </c>
      <c r="Q607" s="469">
        <f t="shared" ca="1" si="62"/>
        <v>1</v>
      </c>
      <c r="R607" s="638" t="s">
        <v>3980</v>
      </c>
    </row>
    <row r="608" spans="2:18" s="4" customFormat="1" ht="107.25" customHeight="1" x14ac:dyDescent="0.25">
      <c r="B608" s="620">
        <v>44607</v>
      </c>
      <c r="C608" s="621"/>
      <c r="D608" s="622" t="s">
        <v>3978</v>
      </c>
      <c r="E608" s="622" t="s">
        <v>4073</v>
      </c>
      <c r="F608" s="623" t="s">
        <v>4071</v>
      </c>
      <c r="G608" s="622" t="s">
        <v>18</v>
      </c>
      <c r="H608" s="622" t="s">
        <v>1345</v>
      </c>
      <c r="I608" s="630" t="s">
        <v>3561</v>
      </c>
      <c r="J608" s="625">
        <v>9434.1</v>
      </c>
      <c r="K608" s="625">
        <v>56.690399999999997</v>
      </c>
      <c r="L608" s="626">
        <f t="shared" si="72"/>
        <v>166.41441937259219</v>
      </c>
      <c r="M608" s="627">
        <v>60</v>
      </c>
      <c r="N608" s="628">
        <f t="shared" si="70"/>
        <v>157.23500000000001</v>
      </c>
      <c r="O608" s="629">
        <f t="shared" ca="1" si="73"/>
        <v>0</v>
      </c>
      <c r="P608" s="36">
        <f t="shared" ca="1" si="71"/>
        <v>0</v>
      </c>
      <c r="Q608" s="469">
        <f t="shared" ca="1" si="62"/>
        <v>1</v>
      </c>
      <c r="R608" s="638" t="s">
        <v>3980</v>
      </c>
    </row>
    <row r="609" spans="2:18" s="4" customFormat="1" ht="107.25" customHeight="1" x14ac:dyDescent="0.25">
      <c r="B609" s="620">
        <v>44607</v>
      </c>
      <c r="C609" s="621"/>
      <c r="D609" s="622" t="s">
        <v>3978</v>
      </c>
      <c r="E609" s="622" t="s">
        <v>4074</v>
      </c>
      <c r="F609" s="623" t="s">
        <v>4075</v>
      </c>
      <c r="G609" s="622" t="s">
        <v>18</v>
      </c>
      <c r="H609" s="622" t="s">
        <v>1345</v>
      </c>
      <c r="I609" s="630" t="s">
        <v>3561</v>
      </c>
      <c r="J609" s="625">
        <v>5900</v>
      </c>
      <c r="K609" s="625">
        <v>56.690399999999997</v>
      </c>
      <c r="L609" s="626">
        <f t="shared" si="72"/>
        <v>104.0740583943666</v>
      </c>
      <c r="M609" s="627">
        <v>60</v>
      </c>
      <c r="N609" s="628">
        <f t="shared" si="70"/>
        <v>98.333333333333329</v>
      </c>
      <c r="O609" s="629">
        <f t="shared" ca="1" si="73"/>
        <v>0</v>
      </c>
      <c r="P609" s="36">
        <f t="shared" ca="1" si="71"/>
        <v>0</v>
      </c>
      <c r="Q609" s="469">
        <f t="shared" ca="1" si="62"/>
        <v>1</v>
      </c>
      <c r="R609" s="638" t="s">
        <v>3980</v>
      </c>
    </row>
    <row r="610" spans="2:18" s="4" customFormat="1" ht="107.25" customHeight="1" x14ac:dyDescent="0.25">
      <c r="B610" s="620">
        <v>44607</v>
      </c>
      <c r="C610" s="621"/>
      <c r="D610" s="622" t="s">
        <v>3978</v>
      </c>
      <c r="E610" s="622" t="s">
        <v>4076</v>
      </c>
      <c r="F610" s="623" t="s">
        <v>4075</v>
      </c>
      <c r="G610" s="622" t="s">
        <v>18</v>
      </c>
      <c r="H610" s="622" t="s">
        <v>1345</v>
      </c>
      <c r="I610" s="630" t="s">
        <v>3561</v>
      </c>
      <c r="J610" s="625">
        <v>5900</v>
      </c>
      <c r="K610" s="625">
        <v>56.690399999999997</v>
      </c>
      <c r="L610" s="626">
        <f t="shared" si="72"/>
        <v>104.0740583943666</v>
      </c>
      <c r="M610" s="627">
        <v>60</v>
      </c>
      <c r="N610" s="628">
        <f t="shared" si="70"/>
        <v>98.333333333333329</v>
      </c>
      <c r="O610" s="629">
        <f t="shared" ca="1" si="73"/>
        <v>0</v>
      </c>
      <c r="P610" s="36">
        <f t="shared" ca="1" si="71"/>
        <v>0</v>
      </c>
      <c r="Q610" s="469">
        <f t="shared" ca="1" si="62"/>
        <v>1</v>
      </c>
      <c r="R610" s="638" t="s">
        <v>3980</v>
      </c>
    </row>
    <row r="611" spans="2:18" s="4" customFormat="1" ht="107.25" customHeight="1" x14ac:dyDescent="0.25">
      <c r="B611" s="620">
        <v>44607</v>
      </c>
      <c r="C611" s="621"/>
      <c r="D611" s="622" t="s">
        <v>3978</v>
      </c>
      <c r="E611" s="622" t="s">
        <v>4077</v>
      </c>
      <c r="F611" s="623" t="s">
        <v>4075</v>
      </c>
      <c r="G611" s="622" t="s">
        <v>18</v>
      </c>
      <c r="H611" s="622" t="s">
        <v>1345</v>
      </c>
      <c r="I611" s="630" t="s">
        <v>3561</v>
      </c>
      <c r="J611" s="625">
        <v>5900</v>
      </c>
      <c r="K611" s="625">
        <v>56.690399999999997</v>
      </c>
      <c r="L611" s="626">
        <f t="shared" si="72"/>
        <v>104.0740583943666</v>
      </c>
      <c r="M611" s="627">
        <v>60</v>
      </c>
      <c r="N611" s="628">
        <f t="shared" si="70"/>
        <v>98.333333333333329</v>
      </c>
      <c r="O611" s="629">
        <f t="shared" ca="1" si="73"/>
        <v>0</v>
      </c>
      <c r="P611" s="36">
        <f t="shared" ca="1" si="71"/>
        <v>0</v>
      </c>
      <c r="Q611" s="469">
        <f t="shared" ca="1" si="62"/>
        <v>1</v>
      </c>
      <c r="R611" s="638" t="s">
        <v>3980</v>
      </c>
    </row>
    <row r="612" spans="2:18" s="4" customFormat="1" ht="107.25" customHeight="1" x14ac:dyDescent="0.25">
      <c r="B612" s="620">
        <v>44607</v>
      </c>
      <c r="C612" s="621"/>
      <c r="D612" s="622" t="s">
        <v>3978</v>
      </c>
      <c r="E612" s="622" t="s">
        <v>4078</v>
      </c>
      <c r="F612" s="623" t="s">
        <v>4075</v>
      </c>
      <c r="G612" s="622" t="s">
        <v>18</v>
      </c>
      <c r="H612" s="622" t="s">
        <v>1345</v>
      </c>
      <c r="I612" s="630" t="s">
        <v>3561</v>
      </c>
      <c r="J612" s="625">
        <v>5900</v>
      </c>
      <c r="K612" s="625">
        <v>56.690399999999997</v>
      </c>
      <c r="L612" s="626">
        <f t="shared" si="72"/>
        <v>104.0740583943666</v>
      </c>
      <c r="M612" s="627">
        <v>60</v>
      </c>
      <c r="N612" s="628">
        <f t="shared" si="70"/>
        <v>98.333333333333329</v>
      </c>
      <c r="O612" s="629">
        <f t="shared" ca="1" si="73"/>
        <v>0</v>
      </c>
      <c r="P612" s="36">
        <f t="shared" ca="1" si="71"/>
        <v>0</v>
      </c>
      <c r="Q612" s="469">
        <f t="shared" ca="1" si="62"/>
        <v>1</v>
      </c>
      <c r="R612" s="638" t="s">
        <v>3980</v>
      </c>
    </row>
    <row r="613" spans="2:18" s="4" customFormat="1" ht="107.25" customHeight="1" x14ac:dyDescent="0.25">
      <c r="B613" s="620">
        <v>44607</v>
      </c>
      <c r="C613" s="621"/>
      <c r="D613" s="622" t="s">
        <v>3978</v>
      </c>
      <c r="E613" s="622" t="s">
        <v>4079</v>
      </c>
      <c r="F613" s="623" t="s">
        <v>4075</v>
      </c>
      <c r="G613" s="622" t="s">
        <v>18</v>
      </c>
      <c r="H613" s="622" t="s">
        <v>1345</v>
      </c>
      <c r="I613" s="630" t="s">
        <v>3561</v>
      </c>
      <c r="J613" s="625">
        <v>5900</v>
      </c>
      <c r="K613" s="625">
        <v>56.690399999999997</v>
      </c>
      <c r="L613" s="626">
        <f t="shared" si="72"/>
        <v>104.0740583943666</v>
      </c>
      <c r="M613" s="627">
        <v>60</v>
      </c>
      <c r="N613" s="628">
        <f t="shared" si="70"/>
        <v>98.333333333333329</v>
      </c>
      <c r="O613" s="629">
        <f t="shared" ca="1" si="73"/>
        <v>0</v>
      </c>
      <c r="P613" s="36">
        <f t="shared" ca="1" si="71"/>
        <v>0</v>
      </c>
      <c r="Q613" s="469">
        <f t="shared" ca="1" si="62"/>
        <v>1</v>
      </c>
      <c r="R613" s="638" t="s">
        <v>3980</v>
      </c>
    </row>
    <row r="614" spans="2:18" s="4" customFormat="1" ht="107.25" customHeight="1" x14ac:dyDescent="0.25">
      <c r="B614" s="620">
        <v>44607</v>
      </c>
      <c r="C614" s="621"/>
      <c r="D614" s="622" t="s">
        <v>3978</v>
      </c>
      <c r="E614" s="622" t="s">
        <v>4080</v>
      </c>
      <c r="F614" s="623" t="s">
        <v>4075</v>
      </c>
      <c r="G614" s="622" t="s">
        <v>18</v>
      </c>
      <c r="H614" s="622" t="s">
        <v>1345</v>
      </c>
      <c r="I614" s="630" t="s">
        <v>3561</v>
      </c>
      <c r="J614" s="625">
        <v>5900</v>
      </c>
      <c r="K614" s="625">
        <v>56.690399999999997</v>
      </c>
      <c r="L614" s="626">
        <f t="shared" si="72"/>
        <v>104.0740583943666</v>
      </c>
      <c r="M614" s="627">
        <v>60</v>
      </c>
      <c r="N614" s="628">
        <f t="shared" si="70"/>
        <v>98.333333333333329</v>
      </c>
      <c r="O614" s="629">
        <f t="shared" ca="1" si="73"/>
        <v>0</v>
      </c>
      <c r="P614" s="36">
        <f t="shared" ca="1" si="71"/>
        <v>0</v>
      </c>
      <c r="Q614" s="469">
        <f t="shared" ca="1" si="62"/>
        <v>1</v>
      </c>
      <c r="R614" s="638" t="s">
        <v>3980</v>
      </c>
    </row>
    <row r="615" spans="2:18" s="4" customFormat="1" ht="107.25" customHeight="1" x14ac:dyDescent="0.25">
      <c r="B615" s="620">
        <v>44607</v>
      </c>
      <c r="C615" s="621"/>
      <c r="D615" s="622" t="s">
        <v>3978</v>
      </c>
      <c r="E615" s="622" t="s">
        <v>4081</v>
      </c>
      <c r="F615" s="623" t="s">
        <v>4075</v>
      </c>
      <c r="G615" s="622" t="s">
        <v>18</v>
      </c>
      <c r="H615" s="622" t="s">
        <v>1345</v>
      </c>
      <c r="I615" s="630" t="s">
        <v>3561</v>
      </c>
      <c r="J615" s="625">
        <v>5900</v>
      </c>
      <c r="K615" s="625">
        <v>56.690399999999997</v>
      </c>
      <c r="L615" s="626">
        <f t="shared" si="72"/>
        <v>104.0740583943666</v>
      </c>
      <c r="M615" s="627">
        <v>60</v>
      </c>
      <c r="N615" s="628">
        <f t="shared" si="70"/>
        <v>98.333333333333329</v>
      </c>
      <c r="O615" s="629">
        <f t="shared" ca="1" si="73"/>
        <v>0</v>
      </c>
      <c r="P615" s="36">
        <f t="shared" ca="1" si="71"/>
        <v>0</v>
      </c>
      <c r="Q615" s="469">
        <f t="shared" ca="1" si="62"/>
        <v>1</v>
      </c>
      <c r="R615" s="638" t="s">
        <v>3980</v>
      </c>
    </row>
    <row r="616" spans="2:18" s="4" customFormat="1" ht="107.25" customHeight="1" x14ac:dyDescent="0.25">
      <c r="B616" s="620">
        <v>44607</v>
      </c>
      <c r="C616" s="621"/>
      <c r="D616" s="622" t="s">
        <v>3978</v>
      </c>
      <c r="E616" s="622" t="s">
        <v>4082</v>
      </c>
      <c r="F616" s="623" t="s">
        <v>4075</v>
      </c>
      <c r="G616" s="622" t="s">
        <v>18</v>
      </c>
      <c r="H616" s="622" t="s">
        <v>1345</v>
      </c>
      <c r="I616" s="630" t="s">
        <v>3561</v>
      </c>
      <c r="J616" s="625">
        <v>5900</v>
      </c>
      <c r="K616" s="625">
        <v>56.690399999999997</v>
      </c>
      <c r="L616" s="626">
        <f t="shared" si="72"/>
        <v>104.0740583943666</v>
      </c>
      <c r="M616" s="627">
        <v>60</v>
      </c>
      <c r="N616" s="628">
        <f t="shared" si="70"/>
        <v>98.333333333333329</v>
      </c>
      <c r="O616" s="629">
        <f t="shared" ca="1" si="73"/>
        <v>0</v>
      </c>
      <c r="P616" s="36">
        <f t="shared" ca="1" si="71"/>
        <v>0</v>
      </c>
      <c r="Q616" s="469">
        <f t="shared" ca="1" si="62"/>
        <v>1</v>
      </c>
      <c r="R616" s="638" t="s">
        <v>3980</v>
      </c>
    </row>
    <row r="617" spans="2:18" s="4" customFormat="1" ht="107.25" customHeight="1" x14ac:dyDescent="0.25">
      <c r="B617" s="620">
        <v>44607</v>
      </c>
      <c r="C617" s="621"/>
      <c r="D617" s="622" t="s">
        <v>3978</v>
      </c>
      <c r="E617" s="622" t="s">
        <v>4083</v>
      </c>
      <c r="F617" s="623" t="s">
        <v>4075</v>
      </c>
      <c r="G617" s="622" t="s">
        <v>18</v>
      </c>
      <c r="H617" s="622" t="s">
        <v>1345</v>
      </c>
      <c r="I617" s="630" t="s">
        <v>3561</v>
      </c>
      <c r="J617" s="625">
        <v>5900</v>
      </c>
      <c r="K617" s="625">
        <v>56.690399999999997</v>
      </c>
      <c r="L617" s="626">
        <f t="shared" si="72"/>
        <v>104.0740583943666</v>
      </c>
      <c r="M617" s="627">
        <v>60</v>
      </c>
      <c r="N617" s="628">
        <f t="shared" si="70"/>
        <v>98.333333333333329</v>
      </c>
      <c r="O617" s="629">
        <f t="shared" ca="1" si="73"/>
        <v>0</v>
      </c>
      <c r="P617" s="36">
        <f t="shared" ca="1" si="71"/>
        <v>0</v>
      </c>
      <c r="Q617" s="469">
        <f t="shared" ca="1" si="62"/>
        <v>1</v>
      </c>
      <c r="R617" s="638" t="s">
        <v>3980</v>
      </c>
    </row>
    <row r="618" spans="2:18" s="4" customFormat="1" ht="107.25" customHeight="1" x14ac:dyDescent="0.25">
      <c r="B618" s="620">
        <v>44607</v>
      </c>
      <c r="C618" s="621"/>
      <c r="D618" s="622" t="s">
        <v>3978</v>
      </c>
      <c r="E618" s="622" t="s">
        <v>4084</v>
      </c>
      <c r="F618" s="623" t="s">
        <v>4075</v>
      </c>
      <c r="G618" s="622" t="s">
        <v>18</v>
      </c>
      <c r="H618" s="622" t="s">
        <v>1345</v>
      </c>
      <c r="I618" s="630" t="s">
        <v>3561</v>
      </c>
      <c r="J618" s="625">
        <v>5900</v>
      </c>
      <c r="K618" s="625">
        <v>56.690399999999997</v>
      </c>
      <c r="L618" s="626">
        <f t="shared" si="72"/>
        <v>104.0740583943666</v>
      </c>
      <c r="M618" s="627">
        <v>60</v>
      </c>
      <c r="N618" s="628">
        <f t="shared" si="70"/>
        <v>98.333333333333329</v>
      </c>
      <c r="O618" s="629">
        <f t="shared" ca="1" si="73"/>
        <v>0</v>
      </c>
      <c r="P618" s="36">
        <f t="shared" ca="1" si="71"/>
        <v>0</v>
      </c>
      <c r="Q618" s="469">
        <f t="shared" ca="1" si="62"/>
        <v>1</v>
      </c>
      <c r="R618" s="638" t="s">
        <v>3980</v>
      </c>
    </row>
    <row r="619" spans="2:18" s="4" customFormat="1" ht="107.25" customHeight="1" x14ac:dyDescent="0.25">
      <c r="B619" s="620">
        <v>44607</v>
      </c>
      <c r="C619" s="621"/>
      <c r="D619" s="622" t="s">
        <v>3978</v>
      </c>
      <c r="E619" s="622" t="s">
        <v>4085</v>
      </c>
      <c r="F619" s="623" t="s">
        <v>4467</v>
      </c>
      <c r="G619" s="622" t="s">
        <v>18</v>
      </c>
      <c r="H619" s="622" t="s">
        <v>1345</v>
      </c>
      <c r="I619" s="630" t="s">
        <v>3561</v>
      </c>
      <c r="J619" s="625">
        <v>13688</v>
      </c>
      <c r="K619" s="625">
        <v>56.690399999999997</v>
      </c>
      <c r="L619" s="626">
        <f t="shared" si="72"/>
        <v>241.45181547493053</v>
      </c>
      <c r="M619" s="627">
        <v>60</v>
      </c>
      <c r="N619" s="628">
        <f t="shared" si="70"/>
        <v>228.13333333333333</v>
      </c>
      <c r="O619" s="629">
        <f t="shared" ca="1" si="73"/>
        <v>0</v>
      </c>
      <c r="P619" s="36">
        <f t="shared" ca="1" si="71"/>
        <v>0</v>
      </c>
      <c r="Q619" s="469">
        <f t="shared" ca="1" si="62"/>
        <v>1</v>
      </c>
      <c r="R619" s="638" t="s">
        <v>3980</v>
      </c>
    </row>
    <row r="620" spans="2:18" s="4" customFormat="1" ht="107.25" customHeight="1" x14ac:dyDescent="0.25">
      <c r="B620" s="620">
        <v>44607</v>
      </c>
      <c r="C620" s="621"/>
      <c r="D620" s="622" t="s">
        <v>3978</v>
      </c>
      <c r="E620" s="622" t="s">
        <v>4086</v>
      </c>
      <c r="F620" s="623" t="s">
        <v>4087</v>
      </c>
      <c r="G620" s="622" t="s">
        <v>18</v>
      </c>
      <c r="H620" s="622" t="s">
        <v>1345</v>
      </c>
      <c r="I620" s="630" t="s">
        <v>3561</v>
      </c>
      <c r="J620" s="625">
        <v>8224.6</v>
      </c>
      <c r="K620" s="625">
        <v>56.690399999999997</v>
      </c>
      <c r="L620" s="626">
        <f t="shared" si="72"/>
        <v>145.07923740174704</v>
      </c>
      <c r="M620" s="627">
        <v>60</v>
      </c>
      <c r="N620" s="628">
        <f t="shared" si="70"/>
        <v>137.07666666666668</v>
      </c>
      <c r="O620" s="629">
        <f t="shared" ca="1" si="73"/>
        <v>0</v>
      </c>
      <c r="P620" s="36">
        <f t="shared" ca="1" si="71"/>
        <v>0</v>
      </c>
      <c r="Q620" s="469">
        <f t="shared" ca="1" si="62"/>
        <v>1</v>
      </c>
      <c r="R620" s="638" t="s">
        <v>3980</v>
      </c>
    </row>
    <row r="621" spans="2:18" s="4" customFormat="1" ht="107.25" customHeight="1" x14ac:dyDescent="0.25">
      <c r="B621" s="620">
        <v>44607</v>
      </c>
      <c r="C621" s="621"/>
      <c r="D621" s="622" t="s">
        <v>3978</v>
      </c>
      <c r="E621" s="622" t="s">
        <v>4088</v>
      </c>
      <c r="F621" s="623" t="s">
        <v>4087</v>
      </c>
      <c r="G621" s="622" t="s">
        <v>18</v>
      </c>
      <c r="H621" s="622" t="s">
        <v>1345</v>
      </c>
      <c r="I621" s="630" t="s">
        <v>3561</v>
      </c>
      <c r="J621" s="625">
        <v>8224.6</v>
      </c>
      <c r="K621" s="625">
        <v>56.690399999999997</v>
      </c>
      <c r="L621" s="626">
        <f t="shared" si="72"/>
        <v>145.07923740174704</v>
      </c>
      <c r="M621" s="627">
        <v>60</v>
      </c>
      <c r="N621" s="628">
        <f t="shared" si="70"/>
        <v>137.07666666666668</v>
      </c>
      <c r="O621" s="629">
        <f t="shared" ca="1" si="73"/>
        <v>0</v>
      </c>
      <c r="P621" s="36">
        <f t="shared" ca="1" si="71"/>
        <v>0</v>
      </c>
      <c r="Q621" s="469">
        <f t="shared" ca="1" si="62"/>
        <v>1</v>
      </c>
      <c r="R621" s="638" t="s">
        <v>3980</v>
      </c>
    </row>
    <row r="622" spans="2:18" s="4" customFormat="1" ht="107.25" customHeight="1" x14ac:dyDescent="0.25">
      <c r="B622" s="620">
        <v>44607</v>
      </c>
      <c r="C622" s="621"/>
      <c r="D622" s="622" t="s">
        <v>3978</v>
      </c>
      <c r="E622" s="622" t="s">
        <v>4089</v>
      </c>
      <c r="F622" s="623" t="s">
        <v>4087</v>
      </c>
      <c r="G622" s="622" t="s">
        <v>18</v>
      </c>
      <c r="H622" s="622" t="s">
        <v>1345</v>
      </c>
      <c r="I622" s="630" t="s">
        <v>3561</v>
      </c>
      <c r="J622" s="625">
        <v>8224.6</v>
      </c>
      <c r="K622" s="625">
        <v>56.690399999999997</v>
      </c>
      <c r="L622" s="626">
        <f t="shared" si="72"/>
        <v>145.07923740174704</v>
      </c>
      <c r="M622" s="627">
        <v>60</v>
      </c>
      <c r="N622" s="628">
        <f t="shared" si="70"/>
        <v>137.07666666666668</v>
      </c>
      <c r="O622" s="629">
        <f t="shared" ca="1" si="73"/>
        <v>0</v>
      </c>
      <c r="P622" s="36">
        <f t="shared" ca="1" si="71"/>
        <v>0</v>
      </c>
      <c r="Q622" s="469">
        <f t="shared" ca="1" si="62"/>
        <v>1</v>
      </c>
      <c r="R622" s="638" t="s">
        <v>3980</v>
      </c>
    </row>
    <row r="623" spans="2:18" s="4" customFormat="1" ht="107.25" customHeight="1" x14ac:dyDescent="0.25">
      <c r="B623" s="620">
        <v>44607</v>
      </c>
      <c r="C623" s="621"/>
      <c r="D623" s="622" t="s">
        <v>3978</v>
      </c>
      <c r="E623" s="622" t="s">
        <v>4090</v>
      </c>
      <c r="F623" s="623" t="s">
        <v>4087</v>
      </c>
      <c r="G623" s="622" t="s">
        <v>18</v>
      </c>
      <c r="H623" s="622" t="s">
        <v>1345</v>
      </c>
      <c r="I623" s="630" t="s">
        <v>3561</v>
      </c>
      <c r="J623" s="625">
        <v>8224.6</v>
      </c>
      <c r="K623" s="625">
        <v>56.690399999999997</v>
      </c>
      <c r="L623" s="626">
        <f t="shared" si="72"/>
        <v>145.07923740174704</v>
      </c>
      <c r="M623" s="627">
        <v>60</v>
      </c>
      <c r="N623" s="628">
        <f t="shared" si="70"/>
        <v>137.07666666666668</v>
      </c>
      <c r="O623" s="629">
        <f t="shared" ca="1" si="73"/>
        <v>0</v>
      </c>
      <c r="P623" s="36">
        <f t="shared" ca="1" si="71"/>
        <v>0</v>
      </c>
      <c r="Q623" s="469">
        <f t="shared" ca="1" si="62"/>
        <v>1</v>
      </c>
      <c r="R623" s="638" t="s">
        <v>3980</v>
      </c>
    </row>
    <row r="624" spans="2:18" s="4" customFormat="1" ht="99.75" customHeight="1" x14ac:dyDescent="0.25">
      <c r="B624" s="24">
        <v>44914</v>
      </c>
      <c r="C624" s="24" t="s">
        <v>2351</v>
      </c>
      <c r="D624" s="54" t="s">
        <v>3972</v>
      </c>
      <c r="E624" s="26" t="s">
        <v>3864</v>
      </c>
      <c r="F624" s="54" t="s">
        <v>3973</v>
      </c>
      <c r="G624" s="54" t="s">
        <v>28</v>
      </c>
      <c r="H624" s="54" t="s">
        <v>3974</v>
      </c>
      <c r="I624" s="54" t="s">
        <v>19</v>
      </c>
      <c r="J624" s="54">
        <v>26756.5</v>
      </c>
      <c r="K624" s="54">
        <v>55.127400000000002</v>
      </c>
      <c r="L624" s="61">
        <f t="shared" si="51"/>
        <v>485.35755359403851</v>
      </c>
      <c r="M624" s="54">
        <v>60</v>
      </c>
      <c r="N624" s="58">
        <f t="shared" ref="N624:N655" si="74">J624/M624</f>
        <v>445.94166666666666</v>
      </c>
      <c r="O624" s="38">
        <f t="shared" ref="O624:O655" ca="1" si="75">IF(B624&lt;&gt;0,(ROUND((NOW()-B624)/30,0)),0)</f>
        <v>13</v>
      </c>
      <c r="P624" s="36">
        <f t="shared" ca="1" si="71"/>
        <v>20959.258333333331</v>
      </c>
      <c r="Q624" s="36">
        <f t="shared" ca="1" si="62"/>
        <v>20959.258333333331</v>
      </c>
      <c r="R624" s="637" t="s">
        <v>30</v>
      </c>
    </row>
    <row r="625" spans="2:24" s="4" customFormat="1" ht="99.75" customHeight="1" x14ac:dyDescent="0.25">
      <c r="B625" s="24">
        <v>44914</v>
      </c>
      <c r="C625" s="24" t="s">
        <v>2351</v>
      </c>
      <c r="D625" s="54" t="s">
        <v>3972</v>
      </c>
      <c r="E625" s="26" t="s">
        <v>3867</v>
      </c>
      <c r="F625" s="54" t="s">
        <v>3973</v>
      </c>
      <c r="G625" s="54" t="s">
        <v>28</v>
      </c>
      <c r="H625" s="54" t="s">
        <v>3974</v>
      </c>
      <c r="I625" s="54" t="s">
        <v>19</v>
      </c>
      <c r="J625" s="54">
        <v>26756.5</v>
      </c>
      <c r="K625" s="54">
        <v>55.127400000000002</v>
      </c>
      <c r="L625" s="61">
        <f t="shared" si="51"/>
        <v>485.35755359403851</v>
      </c>
      <c r="M625" s="54">
        <v>60</v>
      </c>
      <c r="N625" s="58">
        <f t="shared" si="74"/>
        <v>445.94166666666666</v>
      </c>
      <c r="O625" s="38">
        <f t="shared" ca="1" si="75"/>
        <v>13</v>
      </c>
      <c r="P625" s="36">
        <f t="shared" ca="1" si="71"/>
        <v>20959.258333333331</v>
      </c>
      <c r="Q625" s="36">
        <f t="shared" ca="1" si="62"/>
        <v>20959.258333333331</v>
      </c>
      <c r="R625" s="637" t="s">
        <v>30</v>
      </c>
    </row>
    <row r="626" spans="2:24" s="4" customFormat="1" ht="99.75" customHeight="1" x14ac:dyDescent="0.25">
      <c r="B626" s="24">
        <v>44914</v>
      </c>
      <c r="C626" s="24" t="s">
        <v>2351</v>
      </c>
      <c r="D626" s="54" t="s">
        <v>3972</v>
      </c>
      <c r="E626" s="26" t="s">
        <v>3868</v>
      </c>
      <c r="F626" s="54" t="s">
        <v>3973</v>
      </c>
      <c r="G626" s="54" t="s">
        <v>28</v>
      </c>
      <c r="H626" s="54" t="s">
        <v>3974</v>
      </c>
      <c r="I626" s="54" t="s">
        <v>19</v>
      </c>
      <c r="J626" s="54">
        <v>26756.5</v>
      </c>
      <c r="K626" s="54">
        <v>55.127400000000002</v>
      </c>
      <c r="L626" s="61">
        <f>J626/K626</f>
        <v>485.35755359403851</v>
      </c>
      <c r="M626" s="54">
        <v>60</v>
      </c>
      <c r="N626" s="58">
        <f t="shared" si="74"/>
        <v>445.94166666666666</v>
      </c>
      <c r="O626" s="38">
        <f t="shared" ca="1" si="75"/>
        <v>13</v>
      </c>
      <c r="P626" s="36">
        <f t="shared" ca="1" si="71"/>
        <v>20959.258333333331</v>
      </c>
      <c r="Q626" s="36">
        <f t="shared" ca="1" si="62"/>
        <v>20959.258333333331</v>
      </c>
      <c r="R626" s="637" t="s">
        <v>30</v>
      </c>
    </row>
    <row r="627" spans="2:24" s="4" customFormat="1" ht="64.5" customHeight="1" x14ac:dyDescent="0.25">
      <c r="B627" s="24">
        <v>45075</v>
      </c>
      <c r="C627" s="24">
        <v>45091</v>
      </c>
      <c r="D627" s="54" t="s">
        <v>4288</v>
      </c>
      <c r="E627" s="26" t="s">
        <v>3878</v>
      </c>
      <c r="F627" s="54" t="s">
        <v>4289</v>
      </c>
      <c r="G627" s="54" t="s">
        <v>28</v>
      </c>
      <c r="H627" s="54" t="s">
        <v>4388</v>
      </c>
      <c r="I627" s="54" t="s">
        <v>19</v>
      </c>
      <c r="J627" s="54">
        <v>24780</v>
      </c>
      <c r="K627" s="54">
        <v>54.418599999999998</v>
      </c>
      <c r="L627" s="61">
        <f>J627/K627</f>
        <v>455.35901327854816</v>
      </c>
      <c r="M627" s="54">
        <v>60</v>
      </c>
      <c r="N627" s="58">
        <f t="shared" si="74"/>
        <v>413</v>
      </c>
      <c r="O627" s="38">
        <f t="shared" ca="1" si="75"/>
        <v>8</v>
      </c>
      <c r="P627" s="36">
        <f t="shared" ca="1" si="71"/>
        <v>21476</v>
      </c>
      <c r="Q627" s="36">
        <f t="shared" ca="1" si="62"/>
        <v>21476</v>
      </c>
      <c r="R627" s="637" t="s">
        <v>30</v>
      </c>
    </row>
    <row r="628" spans="2:24" s="4" customFormat="1" ht="64.5" customHeight="1" x14ac:dyDescent="0.25">
      <c r="B628" s="24">
        <v>45075</v>
      </c>
      <c r="C628" s="24">
        <v>45091</v>
      </c>
      <c r="D628" s="54" t="s">
        <v>4288</v>
      </c>
      <c r="E628" s="26" t="s">
        <v>3883</v>
      </c>
      <c r="F628" s="54" t="s">
        <v>4289</v>
      </c>
      <c r="G628" s="54" t="s">
        <v>28</v>
      </c>
      <c r="H628" s="54" t="s">
        <v>4387</v>
      </c>
      <c r="I628" s="54" t="s">
        <v>19</v>
      </c>
      <c r="J628" s="54">
        <v>24780</v>
      </c>
      <c r="K628" s="54">
        <v>54.418599999999998</v>
      </c>
      <c r="L628" s="61">
        <f t="shared" ref="L628:L685" si="76">J628/K628</f>
        <v>455.35901327854816</v>
      </c>
      <c r="M628" s="54">
        <v>60</v>
      </c>
      <c r="N628" s="58">
        <f t="shared" si="74"/>
        <v>413</v>
      </c>
      <c r="O628" s="38">
        <f t="shared" ca="1" si="75"/>
        <v>8</v>
      </c>
      <c r="P628" s="36">
        <f t="shared" ca="1" si="71"/>
        <v>21476</v>
      </c>
      <c r="Q628" s="36">
        <f t="shared" ca="1" si="62"/>
        <v>21476</v>
      </c>
      <c r="R628" s="637" t="s">
        <v>30</v>
      </c>
      <c r="W628" s="4" t="s">
        <v>2050</v>
      </c>
    </row>
    <row r="629" spans="2:24" s="4" customFormat="1" ht="43.5" customHeight="1" x14ac:dyDescent="0.25">
      <c r="B629" s="24">
        <v>45075</v>
      </c>
      <c r="C629" s="24">
        <v>45091</v>
      </c>
      <c r="D629" s="54" t="s">
        <v>4288</v>
      </c>
      <c r="E629" s="26" t="s">
        <v>4290</v>
      </c>
      <c r="F629" s="54" t="s">
        <v>4289</v>
      </c>
      <c r="G629" s="54" t="s">
        <v>28</v>
      </c>
      <c r="H629" s="25" t="s">
        <v>4389</v>
      </c>
      <c r="I629" s="54" t="s">
        <v>19</v>
      </c>
      <c r="J629" s="54">
        <v>24780</v>
      </c>
      <c r="K629" s="54">
        <v>54.418599999999998</v>
      </c>
      <c r="L629" s="61">
        <f t="shared" si="76"/>
        <v>455.35901327854816</v>
      </c>
      <c r="M629" s="54">
        <v>60</v>
      </c>
      <c r="N629" s="58">
        <f t="shared" si="74"/>
        <v>413</v>
      </c>
      <c r="O629" s="38">
        <f t="shared" ca="1" si="75"/>
        <v>8</v>
      </c>
      <c r="P629" s="36">
        <f t="shared" ca="1" si="71"/>
        <v>21476</v>
      </c>
      <c r="Q629" s="36">
        <f t="shared" ca="1" si="62"/>
        <v>21476</v>
      </c>
      <c r="R629" s="637" t="s">
        <v>30</v>
      </c>
    </row>
    <row r="630" spans="2:24" s="4" customFormat="1" ht="43.5" customHeight="1" x14ac:dyDescent="0.25">
      <c r="B630" s="24">
        <v>45075</v>
      </c>
      <c r="C630" s="24">
        <v>45091</v>
      </c>
      <c r="D630" s="54" t="s">
        <v>4288</v>
      </c>
      <c r="E630" s="26" t="s">
        <v>4291</v>
      </c>
      <c r="F630" s="54" t="s">
        <v>4289</v>
      </c>
      <c r="G630" s="54" t="s">
        <v>28</v>
      </c>
      <c r="H630" s="25" t="s">
        <v>4429</v>
      </c>
      <c r="I630" s="54" t="s">
        <v>19</v>
      </c>
      <c r="J630" s="54">
        <v>24780</v>
      </c>
      <c r="K630" s="54">
        <v>54.418599999999998</v>
      </c>
      <c r="L630" s="61">
        <f t="shared" si="76"/>
        <v>455.35901327854816</v>
      </c>
      <c r="M630" s="54">
        <v>60</v>
      </c>
      <c r="N630" s="58">
        <f t="shared" si="74"/>
        <v>413</v>
      </c>
      <c r="O630" s="38">
        <f t="shared" ca="1" si="75"/>
        <v>8</v>
      </c>
      <c r="P630" s="36">
        <f t="shared" ca="1" si="71"/>
        <v>21476</v>
      </c>
      <c r="Q630" s="36">
        <f t="shared" ca="1" si="62"/>
        <v>21476</v>
      </c>
      <c r="R630" s="637" t="s">
        <v>30</v>
      </c>
    </row>
    <row r="631" spans="2:24" s="4" customFormat="1" ht="43.5" customHeight="1" x14ac:dyDescent="0.25">
      <c r="B631" s="24">
        <v>45075</v>
      </c>
      <c r="C631" s="24">
        <v>45091</v>
      </c>
      <c r="D631" s="54" t="s">
        <v>4288</v>
      </c>
      <c r="E631" s="26" t="s">
        <v>4292</v>
      </c>
      <c r="F631" s="54" t="s">
        <v>4289</v>
      </c>
      <c r="G631" s="54" t="s">
        <v>28</v>
      </c>
      <c r="H631" s="568" t="s">
        <v>4391</v>
      </c>
      <c r="I631" s="54" t="s">
        <v>19</v>
      </c>
      <c r="J631" s="54">
        <v>24780</v>
      </c>
      <c r="K631" s="54">
        <v>54.418599999999998</v>
      </c>
      <c r="L631" s="61">
        <f t="shared" si="76"/>
        <v>455.35901327854816</v>
      </c>
      <c r="M631" s="54">
        <v>60</v>
      </c>
      <c r="N631" s="58">
        <f t="shared" si="74"/>
        <v>413</v>
      </c>
      <c r="O631" s="38">
        <f t="shared" ca="1" si="75"/>
        <v>8</v>
      </c>
      <c r="P631" s="36">
        <f t="shared" ca="1" si="71"/>
        <v>21476</v>
      </c>
      <c r="Q631" s="36">
        <f t="shared" ca="1" si="62"/>
        <v>21476</v>
      </c>
      <c r="R631" s="637" t="s">
        <v>30</v>
      </c>
    </row>
    <row r="632" spans="2:24" s="4" customFormat="1" ht="43.5" customHeight="1" x14ac:dyDescent="0.25">
      <c r="B632" s="24">
        <v>45075</v>
      </c>
      <c r="C632" s="24">
        <v>45091</v>
      </c>
      <c r="D632" s="54" t="s">
        <v>4288</v>
      </c>
      <c r="E632" s="26" t="s">
        <v>4293</v>
      </c>
      <c r="F632" s="54" t="s">
        <v>4338</v>
      </c>
      <c r="G632" s="54" t="s">
        <v>28</v>
      </c>
      <c r="H632" s="54" t="s">
        <v>3795</v>
      </c>
      <c r="I632" s="54" t="s">
        <v>19</v>
      </c>
      <c r="J632" s="54">
        <v>12590.6</v>
      </c>
      <c r="K632" s="54">
        <v>54.418599999999998</v>
      </c>
      <c r="L632" s="61">
        <f t="shared" si="76"/>
        <v>231.36574627057661</v>
      </c>
      <c r="M632" s="54">
        <v>60</v>
      </c>
      <c r="N632" s="58">
        <f t="shared" si="74"/>
        <v>209.84333333333333</v>
      </c>
      <c r="O632" s="38">
        <f t="shared" ca="1" si="75"/>
        <v>8</v>
      </c>
      <c r="P632" s="36">
        <f t="shared" ca="1" si="71"/>
        <v>10911.853333333334</v>
      </c>
      <c r="Q632" s="36">
        <f t="shared" ca="1" si="62"/>
        <v>10911.853333333334</v>
      </c>
      <c r="R632" s="637" t="s">
        <v>30</v>
      </c>
    </row>
    <row r="633" spans="2:24" s="4" customFormat="1" ht="43.5" customHeight="1" x14ac:dyDescent="0.25">
      <c r="B633" s="24">
        <v>45075</v>
      </c>
      <c r="C633" s="24">
        <v>45091</v>
      </c>
      <c r="D633" s="54" t="s">
        <v>4288</v>
      </c>
      <c r="E633" s="26" t="s">
        <v>4294</v>
      </c>
      <c r="F633" s="54" t="s">
        <v>4338</v>
      </c>
      <c r="G633" s="54" t="s">
        <v>28</v>
      </c>
      <c r="H633" s="54" t="s">
        <v>4386</v>
      </c>
      <c r="I633" s="54" t="s">
        <v>19</v>
      </c>
      <c r="J633" s="54">
        <v>12590.6</v>
      </c>
      <c r="K633" s="54">
        <v>54.418599999999998</v>
      </c>
      <c r="L633" s="61">
        <f t="shared" si="76"/>
        <v>231.36574627057661</v>
      </c>
      <c r="M633" s="54">
        <v>60</v>
      </c>
      <c r="N633" s="58">
        <f t="shared" si="74"/>
        <v>209.84333333333333</v>
      </c>
      <c r="O633" s="38">
        <f t="shared" ca="1" si="75"/>
        <v>8</v>
      </c>
      <c r="P633" s="36">
        <f t="shared" ca="1" si="71"/>
        <v>10911.853333333334</v>
      </c>
      <c r="Q633" s="36">
        <f t="shared" ca="1" si="62"/>
        <v>10911.853333333334</v>
      </c>
      <c r="R633" s="637" t="s">
        <v>30</v>
      </c>
    </row>
    <row r="634" spans="2:24" s="4" customFormat="1" ht="43.5" customHeight="1" x14ac:dyDescent="0.25">
      <c r="B634" s="24">
        <v>45075</v>
      </c>
      <c r="C634" s="24">
        <v>45091</v>
      </c>
      <c r="D634" s="54" t="s">
        <v>4288</v>
      </c>
      <c r="E634" s="26" t="s">
        <v>4295</v>
      </c>
      <c r="F634" s="54" t="s">
        <v>4339</v>
      </c>
      <c r="G634" s="54" t="s">
        <v>28</v>
      </c>
      <c r="H634" s="568" t="s">
        <v>4392</v>
      </c>
      <c r="I634" s="54" t="s">
        <v>19</v>
      </c>
      <c r="J634" s="54">
        <v>9068.2999999999993</v>
      </c>
      <c r="K634" s="54">
        <v>54.418599999999998</v>
      </c>
      <c r="L634" s="61">
        <f t="shared" si="76"/>
        <v>166.63971509741154</v>
      </c>
      <c r="M634" s="54">
        <v>60</v>
      </c>
      <c r="N634" s="58">
        <f t="shared" si="74"/>
        <v>151.13833333333332</v>
      </c>
      <c r="O634" s="38">
        <f t="shared" ca="1" si="75"/>
        <v>8</v>
      </c>
      <c r="P634" s="36">
        <f t="shared" ca="1" si="71"/>
        <v>7859.1933333333327</v>
      </c>
      <c r="Q634" s="36">
        <f t="shared" ca="1" si="62"/>
        <v>7859.1933333333327</v>
      </c>
      <c r="R634" s="637" t="s">
        <v>30</v>
      </c>
    </row>
    <row r="635" spans="2:24" s="4" customFormat="1" ht="43.5" customHeight="1" x14ac:dyDescent="0.25">
      <c r="B635" s="24">
        <v>45075</v>
      </c>
      <c r="C635" s="24">
        <v>45091</v>
      </c>
      <c r="D635" s="54" t="s">
        <v>4288</v>
      </c>
      <c r="E635" s="26" t="s">
        <v>4296</v>
      </c>
      <c r="F635" s="54" t="s">
        <v>4339</v>
      </c>
      <c r="G635" s="54" t="s">
        <v>28</v>
      </c>
      <c r="H635" s="568" t="s">
        <v>4392</v>
      </c>
      <c r="I635" s="54" t="s">
        <v>19</v>
      </c>
      <c r="J635" s="54">
        <v>9068.2999999999993</v>
      </c>
      <c r="K635" s="54">
        <v>54.418599999999998</v>
      </c>
      <c r="L635" s="61">
        <f t="shared" si="76"/>
        <v>166.63971509741154</v>
      </c>
      <c r="M635" s="54">
        <v>60</v>
      </c>
      <c r="N635" s="58">
        <f t="shared" si="74"/>
        <v>151.13833333333332</v>
      </c>
      <c r="O635" s="38">
        <f t="shared" ca="1" si="75"/>
        <v>8</v>
      </c>
      <c r="P635" s="36">
        <f t="shared" ca="1" si="71"/>
        <v>7859.1933333333327</v>
      </c>
      <c r="Q635" s="36">
        <f t="shared" ca="1" si="62"/>
        <v>7859.1933333333327</v>
      </c>
      <c r="R635" s="637" t="s">
        <v>30</v>
      </c>
    </row>
    <row r="636" spans="2:24" s="4" customFormat="1" ht="43.5" customHeight="1" x14ac:dyDescent="0.25">
      <c r="B636" s="24">
        <v>45075</v>
      </c>
      <c r="C636" s="24">
        <v>45091</v>
      </c>
      <c r="D636" s="54" t="s">
        <v>4288</v>
      </c>
      <c r="E636" s="26" t="s">
        <v>4297</v>
      </c>
      <c r="F636" s="54" t="s">
        <v>4339</v>
      </c>
      <c r="G636" s="54" t="s">
        <v>28</v>
      </c>
      <c r="H636" s="568" t="s">
        <v>4392</v>
      </c>
      <c r="I636" s="54" t="s">
        <v>19</v>
      </c>
      <c r="J636" s="54">
        <v>9068.2999999999993</v>
      </c>
      <c r="K636" s="54">
        <v>54.418599999999998</v>
      </c>
      <c r="L636" s="61">
        <f t="shared" si="76"/>
        <v>166.63971509741154</v>
      </c>
      <c r="M636" s="54">
        <v>60</v>
      </c>
      <c r="N636" s="58">
        <f t="shared" si="74"/>
        <v>151.13833333333332</v>
      </c>
      <c r="O636" s="38">
        <f t="shared" ca="1" si="75"/>
        <v>8</v>
      </c>
      <c r="P636" s="36">
        <f t="shared" ca="1" si="71"/>
        <v>7859.1933333333327</v>
      </c>
      <c r="Q636" s="36">
        <f t="shared" ca="1" si="62"/>
        <v>7859.1933333333327</v>
      </c>
      <c r="R636" s="637" t="s">
        <v>30</v>
      </c>
    </row>
    <row r="637" spans="2:24" s="4" customFormat="1" ht="43.5" customHeight="1" x14ac:dyDescent="0.25">
      <c r="B637" s="24">
        <v>45075</v>
      </c>
      <c r="C637" s="24">
        <v>45091</v>
      </c>
      <c r="D637" s="54" t="s">
        <v>4288</v>
      </c>
      <c r="E637" s="26" t="s">
        <v>4298</v>
      </c>
      <c r="F637" s="54" t="s">
        <v>4339</v>
      </c>
      <c r="G637" s="54" t="s">
        <v>28</v>
      </c>
      <c r="H637" s="26" t="s">
        <v>1136</v>
      </c>
      <c r="I637" s="54" t="s">
        <v>19</v>
      </c>
      <c r="J637" s="54">
        <v>9068.2999999999993</v>
      </c>
      <c r="K637" s="54">
        <v>54.418599999999998</v>
      </c>
      <c r="L637" s="61">
        <f t="shared" si="76"/>
        <v>166.63971509741154</v>
      </c>
      <c r="M637" s="54">
        <v>60</v>
      </c>
      <c r="N637" s="58">
        <f t="shared" si="74"/>
        <v>151.13833333333332</v>
      </c>
      <c r="O637" s="38">
        <f t="shared" ca="1" si="75"/>
        <v>8</v>
      </c>
      <c r="P637" s="36">
        <f t="shared" ca="1" si="71"/>
        <v>7859.1933333333327</v>
      </c>
      <c r="Q637" s="36">
        <f t="shared" ca="1" si="62"/>
        <v>7859.1933333333327</v>
      </c>
      <c r="R637" s="637" t="s">
        <v>30</v>
      </c>
    </row>
    <row r="638" spans="2:24" s="4" customFormat="1" ht="43.5" customHeight="1" x14ac:dyDescent="0.25">
      <c r="B638" s="24">
        <v>45075</v>
      </c>
      <c r="C638" s="24">
        <v>45091</v>
      </c>
      <c r="D638" s="54" t="s">
        <v>4288</v>
      </c>
      <c r="E638" s="26" t="s">
        <v>4299</v>
      </c>
      <c r="F638" s="54" t="s">
        <v>4339</v>
      </c>
      <c r="G638" s="54" t="s">
        <v>28</v>
      </c>
      <c r="H638" s="54" t="s">
        <v>4383</v>
      </c>
      <c r="I638" s="54" t="s">
        <v>19</v>
      </c>
      <c r="J638" s="54">
        <v>9068.2999999999993</v>
      </c>
      <c r="K638" s="54">
        <v>54.418599999999998</v>
      </c>
      <c r="L638" s="61">
        <f t="shared" si="76"/>
        <v>166.63971509741154</v>
      </c>
      <c r="M638" s="54">
        <v>60</v>
      </c>
      <c r="N638" s="58">
        <f t="shared" si="74"/>
        <v>151.13833333333332</v>
      </c>
      <c r="O638" s="38">
        <f t="shared" ca="1" si="75"/>
        <v>8</v>
      </c>
      <c r="P638" s="36">
        <f t="shared" ca="1" si="71"/>
        <v>7859.1933333333327</v>
      </c>
      <c r="Q638" s="36">
        <f t="shared" ca="1" si="62"/>
        <v>7859.1933333333327</v>
      </c>
      <c r="R638" s="637" t="s">
        <v>30</v>
      </c>
      <c r="X638" s="4" t="s">
        <v>2050</v>
      </c>
    </row>
    <row r="639" spans="2:24" s="4" customFormat="1" ht="43.5" customHeight="1" x14ac:dyDescent="0.25">
      <c r="B639" s="24">
        <v>45075</v>
      </c>
      <c r="C639" s="24">
        <v>45091</v>
      </c>
      <c r="D639" s="54" t="s">
        <v>4288</v>
      </c>
      <c r="E639" s="26" t="s">
        <v>4300</v>
      </c>
      <c r="F639" s="54" t="s">
        <v>4339</v>
      </c>
      <c r="G639" s="54" t="s">
        <v>28</v>
      </c>
      <c r="H639" s="54" t="s">
        <v>4383</v>
      </c>
      <c r="I639" s="54" t="s">
        <v>19</v>
      </c>
      <c r="J639" s="54">
        <v>9068.2999999999993</v>
      </c>
      <c r="K639" s="54">
        <v>54.418599999999998</v>
      </c>
      <c r="L639" s="61">
        <f t="shared" si="76"/>
        <v>166.63971509741154</v>
      </c>
      <c r="M639" s="54">
        <v>60</v>
      </c>
      <c r="N639" s="58">
        <f t="shared" si="74"/>
        <v>151.13833333333332</v>
      </c>
      <c r="O639" s="38">
        <f t="shared" ca="1" si="75"/>
        <v>8</v>
      </c>
      <c r="P639" s="36">
        <f t="shared" ca="1" si="71"/>
        <v>7859.1933333333327</v>
      </c>
      <c r="Q639" s="36">
        <f t="shared" ca="1" si="62"/>
        <v>7859.1933333333327</v>
      </c>
      <c r="R639" s="637" t="s">
        <v>30</v>
      </c>
    </row>
    <row r="640" spans="2:24" s="4" customFormat="1" ht="43.5" customHeight="1" x14ac:dyDescent="0.25">
      <c r="B640" s="24">
        <v>45075</v>
      </c>
      <c r="C640" s="24">
        <v>45091</v>
      </c>
      <c r="D640" s="54" t="s">
        <v>4288</v>
      </c>
      <c r="E640" s="26" t="s">
        <v>4301</v>
      </c>
      <c r="F640" s="54" t="s">
        <v>4339</v>
      </c>
      <c r="G640" s="54" t="s">
        <v>28</v>
      </c>
      <c r="H640" s="54" t="s">
        <v>4383</v>
      </c>
      <c r="I640" s="54" t="s">
        <v>19</v>
      </c>
      <c r="J640" s="54">
        <v>9068.2999999999993</v>
      </c>
      <c r="K640" s="54">
        <v>54.418599999999998</v>
      </c>
      <c r="L640" s="61">
        <f t="shared" si="76"/>
        <v>166.63971509741154</v>
      </c>
      <c r="M640" s="54">
        <v>60</v>
      </c>
      <c r="N640" s="58">
        <f t="shared" si="74"/>
        <v>151.13833333333332</v>
      </c>
      <c r="O640" s="38">
        <f t="shared" ca="1" si="75"/>
        <v>8</v>
      </c>
      <c r="P640" s="36">
        <f t="shared" ca="1" si="71"/>
        <v>7859.1933333333327</v>
      </c>
      <c r="Q640" s="36">
        <f t="shared" ca="1" si="62"/>
        <v>7859.1933333333327</v>
      </c>
      <c r="R640" s="637" t="s">
        <v>30</v>
      </c>
    </row>
    <row r="641" spans="2:18" s="4" customFormat="1" ht="43.5" customHeight="1" x14ac:dyDescent="0.25">
      <c r="B641" s="24">
        <v>45075</v>
      </c>
      <c r="C641" s="24">
        <v>45091</v>
      </c>
      <c r="D641" s="54" t="s">
        <v>4288</v>
      </c>
      <c r="E641" s="26" t="s">
        <v>4302</v>
      </c>
      <c r="F641" s="54" t="s">
        <v>4339</v>
      </c>
      <c r="G641" s="54" t="s">
        <v>28</v>
      </c>
      <c r="H641" s="54" t="s">
        <v>4384</v>
      </c>
      <c r="I641" s="54" t="s">
        <v>19</v>
      </c>
      <c r="J641" s="54">
        <v>9068.2999999999993</v>
      </c>
      <c r="K641" s="54">
        <v>54.418599999999998</v>
      </c>
      <c r="L641" s="61">
        <f t="shared" si="76"/>
        <v>166.63971509741154</v>
      </c>
      <c r="M641" s="54">
        <v>60</v>
      </c>
      <c r="N641" s="58">
        <f t="shared" si="74"/>
        <v>151.13833333333332</v>
      </c>
      <c r="O641" s="38">
        <f t="shared" ca="1" si="75"/>
        <v>8</v>
      </c>
      <c r="P641" s="36">
        <f t="shared" ca="1" si="71"/>
        <v>7859.1933333333327</v>
      </c>
      <c r="Q641" s="36">
        <f t="shared" ca="1" si="62"/>
        <v>7859.1933333333327</v>
      </c>
      <c r="R641" s="637" t="s">
        <v>30</v>
      </c>
    </row>
    <row r="642" spans="2:18" s="4" customFormat="1" ht="43.5" customHeight="1" x14ac:dyDescent="0.25">
      <c r="B642" s="24">
        <v>45075</v>
      </c>
      <c r="C642" s="24">
        <v>45091</v>
      </c>
      <c r="D642" s="54" t="s">
        <v>4288</v>
      </c>
      <c r="E642" s="26" t="s">
        <v>4303</v>
      </c>
      <c r="F642" s="54" t="s">
        <v>4339</v>
      </c>
      <c r="G642" s="54" t="s">
        <v>28</v>
      </c>
      <c r="H642" s="54" t="s">
        <v>4384</v>
      </c>
      <c r="I642" s="54" t="s">
        <v>19</v>
      </c>
      <c r="J642" s="54">
        <v>9068.2999999999993</v>
      </c>
      <c r="K642" s="54">
        <v>54.418599999999998</v>
      </c>
      <c r="L642" s="61">
        <f t="shared" si="76"/>
        <v>166.63971509741154</v>
      </c>
      <c r="M642" s="54">
        <v>60</v>
      </c>
      <c r="N642" s="58">
        <f t="shared" si="74"/>
        <v>151.13833333333332</v>
      </c>
      <c r="O642" s="38">
        <f t="shared" ca="1" si="75"/>
        <v>8</v>
      </c>
      <c r="P642" s="36">
        <f t="shared" ca="1" si="71"/>
        <v>7859.1933333333327</v>
      </c>
      <c r="Q642" s="36">
        <f t="shared" ca="1" si="62"/>
        <v>7859.1933333333327</v>
      </c>
      <c r="R642" s="637" t="s">
        <v>30</v>
      </c>
    </row>
    <row r="643" spans="2:18" s="4" customFormat="1" ht="43.5" customHeight="1" x14ac:dyDescent="0.25">
      <c r="B643" s="24">
        <v>45075</v>
      </c>
      <c r="C643" s="24">
        <v>45091</v>
      </c>
      <c r="D643" s="54" t="s">
        <v>4288</v>
      </c>
      <c r="E643" s="26" t="s">
        <v>4304</v>
      </c>
      <c r="F643" s="54" t="s">
        <v>4339</v>
      </c>
      <c r="G643" s="54" t="s">
        <v>28</v>
      </c>
      <c r="H643" s="54" t="s">
        <v>4384</v>
      </c>
      <c r="I643" s="54" t="s">
        <v>19</v>
      </c>
      <c r="J643" s="54">
        <v>9068.2999999999993</v>
      </c>
      <c r="K643" s="54">
        <v>54.418599999999998</v>
      </c>
      <c r="L643" s="61">
        <f t="shared" si="76"/>
        <v>166.63971509741154</v>
      </c>
      <c r="M643" s="54">
        <v>60</v>
      </c>
      <c r="N643" s="58">
        <f t="shared" si="74"/>
        <v>151.13833333333332</v>
      </c>
      <c r="O643" s="38">
        <f t="shared" ca="1" si="75"/>
        <v>8</v>
      </c>
      <c r="P643" s="36">
        <f t="shared" ca="1" si="71"/>
        <v>7859.1933333333327</v>
      </c>
      <c r="Q643" s="36">
        <f t="shared" ca="1" si="62"/>
        <v>7859.1933333333327</v>
      </c>
      <c r="R643" s="637" t="s">
        <v>30</v>
      </c>
    </row>
    <row r="644" spans="2:18" s="4" customFormat="1" ht="43.5" customHeight="1" x14ac:dyDescent="0.25">
      <c r="B644" s="24">
        <v>45075</v>
      </c>
      <c r="C644" s="24">
        <v>45091</v>
      </c>
      <c r="D644" s="54" t="s">
        <v>4288</v>
      </c>
      <c r="E644" s="26" t="s">
        <v>4305</v>
      </c>
      <c r="F644" s="54" t="s">
        <v>4339</v>
      </c>
      <c r="G644" s="54" t="s">
        <v>28</v>
      </c>
      <c r="H644" s="54" t="s">
        <v>4384</v>
      </c>
      <c r="I644" s="54" t="s">
        <v>19</v>
      </c>
      <c r="J644" s="54">
        <v>9068.2999999999993</v>
      </c>
      <c r="K644" s="54">
        <v>54.418599999999998</v>
      </c>
      <c r="L644" s="61">
        <f t="shared" si="76"/>
        <v>166.63971509741154</v>
      </c>
      <c r="M644" s="54">
        <v>60</v>
      </c>
      <c r="N644" s="58">
        <f t="shared" si="74"/>
        <v>151.13833333333332</v>
      </c>
      <c r="O644" s="38">
        <f t="shared" ca="1" si="75"/>
        <v>8</v>
      </c>
      <c r="P644" s="36">
        <f t="shared" ca="1" si="71"/>
        <v>7859.1933333333327</v>
      </c>
      <c r="Q644" s="36">
        <f t="shared" ca="1" si="62"/>
        <v>7859.1933333333327</v>
      </c>
      <c r="R644" s="637" t="s">
        <v>30</v>
      </c>
    </row>
    <row r="645" spans="2:18" s="4" customFormat="1" ht="43.5" customHeight="1" x14ac:dyDescent="0.25">
      <c r="B645" s="24">
        <v>45075</v>
      </c>
      <c r="C645" s="24">
        <v>45091</v>
      </c>
      <c r="D645" s="54" t="s">
        <v>4288</v>
      </c>
      <c r="E645" s="26" t="s">
        <v>4306</v>
      </c>
      <c r="F645" s="54" t="s">
        <v>4339</v>
      </c>
      <c r="G645" s="54" t="s">
        <v>28</v>
      </c>
      <c r="H645" s="54" t="s">
        <v>4385</v>
      </c>
      <c r="I645" s="54" t="s">
        <v>19</v>
      </c>
      <c r="J645" s="54">
        <v>9068.2999999999993</v>
      </c>
      <c r="K645" s="54">
        <v>54.418599999999998</v>
      </c>
      <c r="L645" s="61">
        <f t="shared" si="76"/>
        <v>166.63971509741154</v>
      </c>
      <c r="M645" s="54">
        <v>60</v>
      </c>
      <c r="N645" s="58">
        <f t="shared" si="74"/>
        <v>151.13833333333332</v>
      </c>
      <c r="O645" s="38">
        <f t="shared" ca="1" si="75"/>
        <v>8</v>
      </c>
      <c r="P645" s="36">
        <f t="shared" ca="1" si="71"/>
        <v>7859.1933333333327</v>
      </c>
      <c r="Q645" s="36">
        <f t="shared" ca="1" si="62"/>
        <v>7859.1933333333327</v>
      </c>
      <c r="R645" s="637" t="s">
        <v>30</v>
      </c>
    </row>
    <row r="646" spans="2:18" s="4" customFormat="1" ht="43.5" customHeight="1" x14ac:dyDescent="0.25">
      <c r="B646" s="24">
        <v>45075</v>
      </c>
      <c r="C646" s="24">
        <v>45091</v>
      </c>
      <c r="D646" s="54" t="s">
        <v>4288</v>
      </c>
      <c r="E646" s="26" t="s">
        <v>4307</v>
      </c>
      <c r="F646" s="54" t="s">
        <v>4339</v>
      </c>
      <c r="G646" s="54" t="s">
        <v>28</v>
      </c>
      <c r="H646" s="54" t="s">
        <v>4385</v>
      </c>
      <c r="I646" s="54" t="s">
        <v>19</v>
      </c>
      <c r="J646" s="54">
        <v>9068.2999999999993</v>
      </c>
      <c r="K646" s="54">
        <v>54.418599999999998</v>
      </c>
      <c r="L646" s="61">
        <f t="shared" si="76"/>
        <v>166.63971509741154</v>
      </c>
      <c r="M646" s="54">
        <v>60</v>
      </c>
      <c r="N646" s="58">
        <f t="shared" si="74"/>
        <v>151.13833333333332</v>
      </c>
      <c r="O646" s="38">
        <f t="shared" ca="1" si="75"/>
        <v>8</v>
      </c>
      <c r="P646" s="36">
        <f t="shared" ca="1" si="71"/>
        <v>7859.1933333333327</v>
      </c>
      <c r="Q646" s="36">
        <f t="shared" ca="1" si="62"/>
        <v>7859.1933333333327</v>
      </c>
      <c r="R646" s="637" t="s">
        <v>30</v>
      </c>
    </row>
    <row r="647" spans="2:18" s="4" customFormat="1" ht="43.5" customHeight="1" x14ac:dyDescent="0.25">
      <c r="B647" s="24">
        <v>45075</v>
      </c>
      <c r="C647" s="24">
        <v>45091</v>
      </c>
      <c r="D647" s="54" t="s">
        <v>4288</v>
      </c>
      <c r="E647" s="26" t="s">
        <v>4308</v>
      </c>
      <c r="F647" s="54" t="s">
        <v>4339</v>
      </c>
      <c r="G647" s="54" t="s">
        <v>28</v>
      </c>
      <c r="H647" s="54" t="s">
        <v>4385</v>
      </c>
      <c r="I647" s="54" t="s">
        <v>19</v>
      </c>
      <c r="J647" s="54">
        <v>9068.2999999999993</v>
      </c>
      <c r="K647" s="54">
        <v>54.418599999999998</v>
      </c>
      <c r="L647" s="61">
        <f t="shared" si="76"/>
        <v>166.63971509741154</v>
      </c>
      <c r="M647" s="54">
        <v>60</v>
      </c>
      <c r="N647" s="58">
        <f t="shared" si="74"/>
        <v>151.13833333333332</v>
      </c>
      <c r="O647" s="38">
        <f t="shared" ca="1" si="75"/>
        <v>8</v>
      </c>
      <c r="P647" s="36">
        <f t="shared" ca="1" si="71"/>
        <v>7859.1933333333327</v>
      </c>
      <c r="Q647" s="36">
        <f t="shared" ca="1" si="62"/>
        <v>7859.1933333333327</v>
      </c>
      <c r="R647" s="637" t="s">
        <v>30</v>
      </c>
    </row>
    <row r="648" spans="2:18" s="4" customFormat="1" ht="43.5" customHeight="1" x14ac:dyDescent="0.25">
      <c r="B648" s="24">
        <v>45075</v>
      </c>
      <c r="C648" s="24">
        <v>45091</v>
      </c>
      <c r="D648" s="54" t="s">
        <v>4288</v>
      </c>
      <c r="E648" s="26" t="s">
        <v>4309</v>
      </c>
      <c r="F648" s="54" t="s">
        <v>4339</v>
      </c>
      <c r="G648" s="54" t="s">
        <v>28</v>
      </c>
      <c r="H648" s="26" t="s">
        <v>1136</v>
      </c>
      <c r="I648" s="54" t="s">
        <v>19</v>
      </c>
      <c r="J648" s="54">
        <v>9068.2999999999993</v>
      </c>
      <c r="K648" s="54">
        <v>54.418599999999998</v>
      </c>
      <c r="L648" s="61">
        <f t="shared" si="76"/>
        <v>166.63971509741154</v>
      </c>
      <c r="M648" s="54">
        <v>60</v>
      </c>
      <c r="N648" s="58">
        <f t="shared" si="74"/>
        <v>151.13833333333332</v>
      </c>
      <c r="O648" s="38">
        <f t="shared" ca="1" si="75"/>
        <v>8</v>
      </c>
      <c r="P648" s="36">
        <f t="shared" ca="1" si="71"/>
        <v>7859.1933333333327</v>
      </c>
      <c r="Q648" s="36">
        <f t="shared" ca="1" si="62"/>
        <v>7859.1933333333327</v>
      </c>
      <c r="R648" s="637" t="s">
        <v>30</v>
      </c>
    </row>
    <row r="649" spans="2:18" s="4" customFormat="1" ht="43.5" customHeight="1" x14ac:dyDescent="0.25">
      <c r="B649" s="24">
        <v>45075</v>
      </c>
      <c r="C649" s="24">
        <v>45091</v>
      </c>
      <c r="D649" s="54" t="s">
        <v>4288</v>
      </c>
      <c r="E649" s="26" t="s">
        <v>4310</v>
      </c>
      <c r="F649" s="54" t="s">
        <v>4339</v>
      </c>
      <c r="G649" s="54" t="s">
        <v>28</v>
      </c>
      <c r="H649" s="26" t="s">
        <v>1136</v>
      </c>
      <c r="I649" s="54" t="s">
        <v>19</v>
      </c>
      <c r="J649" s="54">
        <v>9068.2999999999993</v>
      </c>
      <c r="K649" s="54">
        <v>54.418599999999998</v>
      </c>
      <c r="L649" s="61">
        <f t="shared" si="76"/>
        <v>166.63971509741154</v>
      </c>
      <c r="M649" s="54">
        <v>60</v>
      </c>
      <c r="N649" s="58">
        <f t="shared" si="74"/>
        <v>151.13833333333332</v>
      </c>
      <c r="O649" s="38">
        <f t="shared" ca="1" si="75"/>
        <v>8</v>
      </c>
      <c r="P649" s="36">
        <f t="shared" ref="P649:P685" ca="1" si="77">IF(OR(J649=0,M649=0,O649=0),0,J649-(N649*O649))</f>
        <v>7859.1933333333327</v>
      </c>
      <c r="Q649" s="36">
        <f t="shared" ca="1" si="62"/>
        <v>7859.1933333333327</v>
      </c>
      <c r="R649" s="637" t="s">
        <v>30</v>
      </c>
    </row>
    <row r="650" spans="2:18" s="4" customFormat="1" ht="43.5" customHeight="1" x14ac:dyDescent="0.25">
      <c r="B650" s="24">
        <v>45075</v>
      </c>
      <c r="C650" s="24">
        <v>45091</v>
      </c>
      <c r="D650" s="54" t="s">
        <v>4288</v>
      </c>
      <c r="E650" s="26" t="s">
        <v>4311</v>
      </c>
      <c r="F650" s="54" t="s">
        <v>4339</v>
      </c>
      <c r="G650" s="54" t="s">
        <v>28</v>
      </c>
      <c r="H650" s="54" t="s">
        <v>4384</v>
      </c>
      <c r="I650" s="54" t="s">
        <v>19</v>
      </c>
      <c r="J650" s="54">
        <v>9068.2999999999993</v>
      </c>
      <c r="K650" s="54">
        <v>54.418599999999998</v>
      </c>
      <c r="L650" s="61">
        <f t="shared" si="76"/>
        <v>166.63971509741154</v>
      </c>
      <c r="M650" s="54">
        <v>60</v>
      </c>
      <c r="N650" s="58">
        <f t="shared" si="74"/>
        <v>151.13833333333332</v>
      </c>
      <c r="O650" s="38">
        <f t="shared" ca="1" si="75"/>
        <v>8</v>
      </c>
      <c r="P650" s="36">
        <f t="shared" ca="1" si="77"/>
        <v>7859.1933333333327</v>
      </c>
      <c r="Q650" s="36">
        <f t="shared" ca="1" si="62"/>
        <v>7859.1933333333327</v>
      </c>
      <c r="R650" s="637" t="s">
        <v>30</v>
      </c>
    </row>
    <row r="651" spans="2:18" s="4" customFormat="1" ht="43.5" customHeight="1" x14ac:dyDescent="0.25">
      <c r="B651" s="24">
        <v>45075</v>
      </c>
      <c r="C651" s="24">
        <v>45091</v>
      </c>
      <c r="D651" s="54" t="s">
        <v>4288</v>
      </c>
      <c r="E651" s="26" t="s">
        <v>4312</v>
      </c>
      <c r="F651" s="54" t="s">
        <v>4339</v>
      </c>
      <c r="G651" s="54" t="s">
        <v>28</v>
      </c>
      <c r="H651" s="54" t="s">
        <v>4384</v>
      </c>
      <c r="I651" s="54" t="s">
        <v>19</v>
      </c>
      <c r="J651" s="54">
        <v>9068.2999999999993</v>
      </c>
      <c r="K651" s="54">
        <v>54.418599999999998</v>
      </c>
      <c r="L651" s="61">
        <f t="shared" si="76"/>
        <v>166.63971509741154</v>
      </c>
      <c r="M651" s="54">
        <v>60</v>
      </c>
      <c r="N651" s="58">
        <f t="shared" si="74"/>
        <v>151.13833333333332</v>
      </c>
      <c r="O651" s="38">
        <f t="shared" ca="1" si="75"/>
        <v>8</v>
      </c>
      <c r="P651" s="36">
        <f t="shared" ca="1" si="77"/>
        <v>7859.1933333333327</v>
      </c>
      <c r="Q651" s="36">
        <f t="shared" ca="1" si="62"/>
        <v>7859.1933333333327</v>
      </c>
      <c r="R651" s="637" t="s">
        <v>30</v>
      </c>
    </row>
    <row r="652" spans="2:18" s="4" customFormat="1" ht="43.5" customHeight="1" x14ac:dyDescent="0.25">
      <c r="B652" s="24">
        <v>45075</v>
      </c>
      <c r="C652" s="24">
        <v>45091</v>
      </c>
      <c r="D652" s="54" t="s">
        <v>4288</v>
      </c>
      <c r="E652" s="26" t="s">
        <v>4313</v>
      </c>
      <c r="F652" s="54" t="s">
        <v>4339</v>
      </c>
      <c r="G652" s="54" t="s">
        <v>28</v>
      </c>
      <c r="H652" s="54" t="s">
        <v>4384</v>
      </c>
      <c r="I652" s="54" t="s">
        <v>19</v>
      </c>
      <c r="J652" s="54">
        <v>9068.2999999999993</v>
      </c>
      <c r="K652" s="54">
        <v>54.418599999999998</v>
      </c>
      <c r="L652" s="61">
        <f t="shared" si="76"/>
        <v>166.63971509741154</v>
      </c>
      <c r="M652" s="54">
        <v>60</v>
      </c>
      <c r="N652" s="58">
        <f t="shared" si="74"/>
        <v>151.13833333333332</v>
      </c>
      <c r="O652" s="38">
        <f t="shared" ca="1" si="75"/>
        <v>8</v>
      </c>
      <c r="P652" s="36">
        <f t="shared" ca="1" si="77"/>
        <v>7859.1933333333327</v>
      </c>
      <c r="Q652" s="36">
        <f t="shared" ca="1" si="62"/>
        <v>7859.1933333333327</v>
      </c>
      <c r="R652" s="637" t="s">
        <v>30</v>
      </c>
    </row>
    <row r="653" spans="2:18" s="4" customFormat="1" ht="43.5" customHeight="1" x14ac:dyDescent="0.25">
      <c r="B653" s="24">
        <v>45075</v>
      </c>
      <c r="C653" s="24">
        <v>45091</v>
      </c>
      <c r="D653" s="54" t="s">
        <v>4288</v>
      </c>
      <c r="E653" s="26" t="s">
        <v>4314</v>
      </c>
      <c r="F653" s="54" t="s">
        <v>4339</v>
      </c>
      <c r="G653" s="54" t="s">
        <v>28</v>
      </c>
      <c r="H653" s="54" t="s">
        <v>4384</v>
      </c>
      <c r="I653" s="54" t="s">
        <v>19</v>
      </c>
      <c r="J653" s="54">
        <v>9068.2999999999993</v>
      </c>
      <c r="K653" s="54">
        <v>54.418599999999998</v>
      </c>
      <c r="L653" s="61">
        <f t="shared" si="76"/>
        <v>166.63971509741154</v>
      </c>
      <c r="M653" s="54">
        <v>60</v>
      </c>
      <c r="N653" s="58">
        <f t="shared" si="74"/>
        <v>151.13833333333332</v>
      </c>
      <c r="O653" s="38">
        <f t="shared" ca="1" si="75"/>
        <v>8</v>
      </c>
      <c r="P653" s="36">
        <f t="shared" ca="1" si="77"/>
        <v>7859.1933333333327</v>
      </c>
      <c r="Q653" s="36">
        <f t="shared" ca="1" si="62"/>
        <v>7859.1933333333327</v>
      </c>
      <c r="R653" s="637" t="s">
        <v>30</v>
      </c>
    </row>
    <row r="654" spans="2:18" s="4" customFormat="1" ht="43.5" customHeight="1" x14ac:dyDescent="0.25">
      <c r="B654" s="24">
        <v>45075</v>
      </c>
      <c r="C654" s="24">
        <v>45091</v>
      </c>
      <c r="D654" s="54" t="s">
        <v>4288</v>
      </c>
      <c r="E654" s="26" t="s">
        <v>4315</v>
      </c>
      <c r="F654" s="54" t="s">
        <v>4339</v>
      </c>
      <c r="G654" s="54" t="s">
        <v>28</v>
      </c>
      <c r="H654" s="54" t="s">
        <v>4384</v>
      </c>
      <c r="I654" s="54" t="s">
        <v>19</v>
      </c>
      <c r="J654" s="54">
        <v>9068.2999999999993</v>
      </c>
      <c r="K654" s="54">
        <v>54.418599999999998</v>
      </c>
      <c r="L654" s="61">
        <f t="shared" si="76"/>
        <v>166.63971509741154</v>
      </c>
      <c r="M654" s="54">
        <v>60</v>
      </c>
      <c r="N654" s="58">
        <f t="shared" si="74"/>
        <v>151.13833333333332</v>
      </c>
      <c r="O654" s="38">
        <f t="shared" ca="1" si="75"/>
        <v>8</v>
      </c>
      <c r="P654" s="36">
        <f t="shared" ca="1" si="77"/>
        <v>7859.1933333333327</v>
      </c>
      <c r="Q654" s="36">
        <f t="shared" ca="1" si="62"/>
        <v>7859.1933333333327</v>
      </c>
      <c r="R654" s="637" t="s">
        <v>30</v>
      </c>
    </row>
    <row r="655" spans="2:18" s="4" customFormat="1" ht="43.5" customHeight="1" x14ac:dyDescent="0.25">
      <c r="B655" s="24">
        <v>45075</v>
      </c>
      <c r="C655" s="24">
        <v>45091</v>
      </c>
      <c r="D655" s="54" t="s">
        <v>4288</v>
      </c>
      <c r="E655" s="26" t="s">
        <v>4316</v>
      </c>
      <c r="F655" s="54" t="s">
        <v>4339</v>
      </c>
      <c r="G655" s="54" t="s">
        <v>28</v>
      </c>
      <c r="H655" s="54" t="s">
        <v>4384</v>
      </c>
      <c r="I655" s="54" t="s">
        <v>19</v>
      </c>
      <c r="J655" s="54">
        <v>9068.2999999999993</v>
      </c>
      <c r="K655" s="54">
        <v>54.418599999999998</v>
      </c>
      <c r="L655" s="61">
        <f t="shared" si="76"/>
        <v>166.63971509741154</v>
      </c>
      <c r="M655" s="54">
        <v>60</v>
      </c>
      <c r="N655" s="58">
        <f t="shared" si="74"/>
        <v>151.13833333333332</v>
      </c>
      <c r="O655" s="38">
        <f t="shared" ca="1" si="75"/>
        <v>8</v>
      </c>
      <c r="P655" s="36">
        <f t="shared" ca="1" si="77"/>
        <v>7859.1933333333327</v>
      </c>
      <c r="Q655" s="36">
        <f t="shared" ca="1" si="62"/>
        <v>7859.1933333333327</v>
      </c>
      <c r="R655" s="637" t="s">
        <v>30</v>
      </c>
    </row>
    <row r="656" spans="2:18" s="4" customFormat="1" ht="43.5" customHeight="1" x14ac:dyDescent="0.25">
      <c r="B656" s="24">
        <v>45075</v>
      </c>
      <c r="C656" s="24">
        <v>45091</v>
      </c>
      <c r="D656" s="54" t="s">
        <v>4288</v>
      </c>
      <c r="E656" s="26" t="s">
        <v>4317</v>
      </c>
      <c r="F656" s="54" t="s">
        <v>4339</v>
      </c>
      <c r="G656" s="54" t="s">
        <v>28</v>
      </c>
      <c r="H656" s="54" t="s">
        <v>3880</v>
      </c>
      <c r="I656" s="54" t="s">
        <v>19</v>
      </c>
      <c r="J656" s="54">
        <v>9068.2999999999993</v>
      </c>
      <c r="K656" s="54">
        <v>54.418599999999998</v>
      </c>
      <c r="L656" s="61">
        <f t="shared" si="76"/>
        <v>166.63971509741154</v>
      </c>
      <c r="M656" s="54">
        <v>60</v>
      </c>
      <c r="N656" s="58">
        <f t="shared" ref="N656:N685" si="78">J656/M656</f>
        <v>151.13833333333332</v>
      </c>
      <c r="O656" s="38">
        <f t="shared" ref="O656:O685" ca="1" si="79">IF(B656&lt;&gt;0,(ROUND((NOW()-B656)/30,0)),0)</f>
        <v>8</v>
      </c>
      <c r="P656" s="36">
        <f t="shared" ca="1" si="77"/>
        <v>7859.1933333333327</v>
      </c>
      <c r="Q656" s="36">
        <f t="shared" ca="1" si="62"/>
        <v>7859.1933333333327</v>
      </c>
      <c r="R656" s="637" t="s">
        <v>30</v>
      </c>
    </row>
    <row r="657" spans="2:18" s="4" customFormat="1" ht="43.5" customHeight="1" x14ac:dyDescent="0.25">
      <c r="B657" s="24">
        <v>45075</v>
      </c>
      <c r="C657" s="24">
        <v>45091</v>
      </c>
      <c r="D657" s="54" t="s">
        <v>4288</v>
      </c>
      <c r="E657" s="26" t="s">
        <v>4318</v>
      </c>
      <c r="F657" s="54" t="s">
        <v>4339</v>
      </c>
      <c r="G657" s="54" t="s">
        <v>28</v>
      </c>
      <c r="H657" s="54" t="s">
        <v>3880</v>
      </c>
      <c r="I657" s="54" t="s">
        <v>19</v>
      </c>
      <c r="J657" s="54">
        <v>9068.2999999999993</v>
      </c>
      <c r="K657" s="54">
        <v>54.418599999999998</v>
      </c>
      <c r="L657" s="61">
        <f t="shared" si="76"/>
        <v>166.63971509741154</v>
      </c>
      <c r="M657" s="54">
        <v>60</v>
      </c>
      <c r="N657" s="58">
        <f t="shared" si="78"/>
        <v>151.13833333333332</v>
      </c>
      <c r="O657" s="38">
        <f t="shared" ca="1" si="79"/>
        <v>8</v>
      </c>
      <c r="P657" s="36">
        <f t="shared" ca="1" si="77"/>
        <v>7859.1933333333327</v>
      </c>
      <c r="Q657" s="36">
        <f t="shared" ca="1" si="62"/>
        <v>7859.1933333333327</v>
      </c>
      <c r="R657" s="637" t="s">
        <v>30</v>
      </c>
    </row>
    <row r="658" spans="2:18" s="4" customFormat="1" ht="43.5" customHeight="1" x14ac:dyDescent="0.25">
      <c r="B658" s="24">
        <v>45075</v>
      </c>
      <c r="C658" s="24">
        <v>45091</v>
      </c>
      <c r="D658" s="54" t="s">
        <v>4288</v>
      </c>
      <c r="E658" s="26" t="s">
        <v>4319</v>
      </c>
      <c r="F658" s="54" t="s">
        <v>4339</v>
      </c>
      <c r="G658" s="54" t="s">
        <v>28</v>
      </c>
      <c r="H658" s="54" t="s">
        <v>3880</v>
      </c>
      <c r="I658" s="54" t="s">
        <v>19</v>
      </c>
      <c r="J658" s="54">
        <v>9068.2999999999993</v>
      </c>
      <c r="K658" s="54">
        <v>54.418599999999998</v>
      </c>
      <c r="L658" s="61">
        <f t="shared" si="76"/>
        <v>166.63971509741154</v>
      </c>
      <c r="M658" s="54">
        <v>60</v>
      </c>
      <c r="N658" s="58">
        <f t="shared" si="78"/>
        <v>151.13833333333332</v>
      </c>
      <c r="O658" s="38">
        <f t="shared" ca="1" si="79"/>
        <v>8</v>
      </c>
      <c r="P658" s="36">
        <f t="shared" ca="1" si="77"/>
        <v>7859.1933333333327</v>
      </c>
      <c r="Q658" s="36">
        <f t="shared" ca="1" si="62"/>
        <v>7859.1933333333327</v>
      </c>
      <c r="R658" s="637" t="s">
        <v>30</v>
      </c>
    </row>
    <row r="659" spans="2:18" s="4" customFormat="1" ht="43.5" customHeight="1" x14ac:dyDescent="0.25">
      <c r="B659" s="24">
        <v>45075</v>
      </c>
      <c r="C659" s="24">
        <v>45091</v>
      </c>
      <c r="D659" s="54" t="s">
        <v>4288</v>
      </c>
      <c r="E659" s="26" t="s">
        <v>4320</v>
      </c>
      <c r="F659" s="54" t="s">
        <v>4339</v>
      </c>
      <c r="G659" s="54" t="s">
        <v>28</v>
      </c>
      <c r="H659" s="54" t="s">
        <v>3880</v>
      </c>
      <c r="I659" s="54" t="s">
        <v>19</v>
      </c>
      <c r="J659" s="54">
        <v>9068.2999999999993</v>
      </c>
      <c r="K659" s="54">
        <v>54.418599999999998</v>
      </c>
      <c r="L659" s="61">
        <f t="shared" si="76"/>
        <v>166.63971509741154</v>
      </c>
      <c r="M659" s="54">
        <v>60</v>
      </c>
      <c r="N659" s="58">
        <f t="shared" si="78"/>
        <v>151.13833333333332</v>
      </c>
      <c r="O659" s="38">
        <f t="shared" ca="1" si="79"/>
        <v>8</v>
      </c>
      <c r="P659" s="36">
        <f t="shared" ca="1" si="77"/>
        <v>7859.1933333333327</v>
      </c>
      <c r="Q659" s="36">
        <f t="shared" ca="1" si="62"/>
        <v>7859.1933333333327</v>
      </c>
      <c r="R659" s="637" t="s">
        <v>30</v>
      </c>
    </row>
    <row r="660" spans="2:18" s="4" customFormat="1" ht="43.5" customHeight="1" x14ac:dyDescent="0.25">
      <c r="B660" s="24">
        <v>45075</v>
      </c>
      <c r="C660" s="24">
        <v>45091</v>
      </c>
      <c r="D660" s="54" t="s">
        <v>4288</v>
      </c>
      <c r="E660" s="26" t="s">
        <v>4321</v>
      </c>
      <c r="F660" s="54" t="s">
        <v>4339</v>
      </c>
      <c r="G660" s="54" t="s">
        <v>28</v>
      </c>
      <c r="H660" s="54" t="s">
        <v>4393</v>
      </c>
      <c r="I660" s="54" t="s">
        <v>19</v>
      </c>
      <c r="J660" s="54">
        <v>9068.2999999999993</v>
      </c>
      <c r="K660" s="54">
        <v>54.418599999999998</v>
      </c>
      <c r="L660" s="61">
        <f t="shared" si="76"/>
        <v>166.63971509741154</v>
      </c>
      <c r="M660" s="54">
        <v>60</v>
      </c>
      <c r="N660" s="58">
        <f t="shared" si="78"/>
        <v>151.13833333333332</v>
      </c>
      <c r="O660" s="38">
        <f t="shared" ca="1" si="79"/>
        <v>8</v>
      </c>
      <c r="P660" s="36">
        <f t="shared" ca="1" si="77"/>
        <v>7859.1933333333327</v>
      </c>
      <c r="Q660" s="36">
        <f t="shared" ca="1" si="62"/>
        <v>7859.1933333333327</v>
      </c>
      <c r="R660" s="637" t="s">
        <v>30</v>
      </c>
    </row>
    <row r="661" spans="2:18" s="4" customFormat="1" ht="43.5" customHeight="1" x14ac:dyDescent="0.25">
      <c r="B661" s="24">
        <v>45075</v>
      </c>
      <c r="C661" s="24">
        <v>45091</v>
      </c>
      <c r="D661" s="54" t="s">
        <v>4288</v>
      </c>
      <c r="E661" s="26" t="s">
        <v>4322</v>
      </c>
      <c r="F661" s="54" t="s">
        <v>4339</v>
      </c>
      <c r="G661" s="54" t="s">
        <v>28</v>
      </c>
      <c r="H661" s="54" t="s">
        <v>4393</v>
      </c>
      <c r="I661" s="54" t="s">
        <v>19</v>
      </c>
      <c r="J661" s="54">
        <v>9068.2999999999993</v>
      </c>
      <c r="K661" s="54">
        <v>54.418599999999998</v>
      </c>
      <c r="L661" s="61">
        <f t="shared" si="76"/>
        <v>166.63971509741154</v>
      </c>
      <c r="M661" s="54">
        <v>60</v>
      </c>
      <c r="N661" s="58">
        <f t="shared" si="78"/>
        <v>151.13833333333332</v>
      </c>
      <c r="O661" s="38">
        <f t="shared" ca="1" si="79"/>
        <v>8</v>
      </c>
      <c r="P661" s="36">
        <f t="shared" ca="1" si="77"/>
        <v>7859.1933333333327</v>
      </c>
      <c r="Q661" s="36">
        <f t="shared" ca="1" si="62"/>
        <v>7859.1933333333327</v>
      </c>
      <c r="R661" s="637" t="s">
        <v>30</v>
      </c>
    </row>
    <row r="662" spans="2:18" s="4" customFormat="1" ht="43.5" customHeight="1" x14ac:dyDescent="0.25">
      <c r="B662" s="24">
        <v>45075</v>
      </c>
      <c r="C662" s="24">
        <v>45091</v>
      </c>
      <c r="D662" s="54" t="s">
        <v>4288</v>
      </c>
      <c r="E662" s="26" t="s">
        <v>4323</v>
      </c>
      <c r="F662" s="54" t="s">
        <v>4339</v>
      </c>
      <c r="G662" s="54" t="s">
        <v>28</v>
      </c>
      <c r="H662" s="54" t="s">
        <v>4393</v>
      </c>
      <c r="I662" s="54" t="s">
        <v>19</v>
      </c>
      <c r="J662" s="54">
        <v>9068.2999999999993</v>
      </c>
      <c r="K662" s="54">
        <v>54.418599999999998</v>
      </c>
      <c r="L662" s="61">
        <f t="shared" si="76"/>
        <v>166.63971509741154</v>
      </c>
      <c r="M662" s="54">
        <v>60</v>
      </c>
      <c r="N662" s="58">
        <f t="shared" si="78"/>
        <v>151.13833333333332</v>
      </c>
      <c r="O662" s="38">
        <f t="shared" ca="1" si="79"/>
        <v>8</v>
      </c>
      <c r="P662" s="36">
        <f t="shared" ca="1" si="77"/>
        <v>7859.1933333333327</v>
      </c>
      <c r="Q662" s="36">
        <f t="shared" ca="1" si="62"/>
        <v>7859.1933333333327</v>
      </c>
      <c r="R662" s="637" t="s">
        <v>30</v>
      </c>
    </row>
    <row r="663" spans="2:18" s="4" customFormat="1" ht="43.5" customHeight="1" x14ac:dyDescent="0.25">
      <c r="B663" s="24">
        <v>45075</v>
      </c>
      <c r="C663" s="24">
        <v>45091</v>
      </c>
      <c r="D663" s="54" t="s">
        <v>4288</v>
      </c>
      <c r="E663" s="26" t="s">
        <v>4324</v>
      </c>
      <c r="F663" s="54" t="s">
        <v>4340</v>
      </c>
      <c r="G663" s="54" t="s">
        <v>28</v>
      </c>
      <c r="H663" s="25" t="s">
        <v>4389</v>
      </c>
      <c r="I663" s="54" t="s">
        <v>19</v>
      </c>
      <c r="J663" s="54">
        <v>8850</v>
      </c>
      <c r="K663" s="54">
        <v>54.418599999999998</v>
      </c>
      <c r="L663" s="61">
        <f t="shared" si="76"/>
        <v>162.62821902805291</v>
      </c>
      <c r="M663" s="54">
        <v>60</v>
      </c>
      <c r="N663" s="58">
        <f t="shared" si="78"/>
        <v>147.5</v>
      </c>
      <c r="O663" s="38">
        <f t="shared" ca="1" si="79"/>
        <v>8</v>
      </c>
      <c r="P663" s="36">
        <f t="shared" ca="1" si="77"/>
        <v>7670</v>
      </c>
      <c r="Q663" s="36">
        <f t="shared" ca="1" si="62"/>
        <v>7670</v>
      </c>
      <c r="R663" s="637" t="s">
        <v>30</v>
      </c>
    </row>
    <row r="664" spans="2:18" s="4" customFormat="1" ht="43.5" customHeight="1" x14ac:dyDescent="0.25">
      <c r="B664" s="24">
        <v>45075</v>
      </c>
      <c r="C664" s="24">
        <v>45091</v>
      </c>
      <c r="D664" s="54" t="s">
        <v>4288</v>
      </c>
      <c r="E664" s="26" t="s">
        <v>4325</v>
      </c>
      <c r="F664" s="54" t="s">
        <v>4340</v>
      </c>
      <c r="G664" s="54" t="s">
        <v>28</v>
      </c>
      <c r="H664" s="25" t="s">
        <v>4390</v>
      </c>
      <c r="I664" s="54" t="s">
        <v>19</v>
      </c>
      <c r="J664" s="54">
        <v>8850</v>
      </c>
      <c r="K664" s="54">
        <v>54.418599999999998</v>
      </c>
      <c r="L664" s="61">
        <f t="shared" si="76"/>
        <v>162.62821902805291</v>
      </c>
      <c r="M664" s="54">
        <v>60</v>
      </c>
      <c r="N664" s="58">
        <f t="shared" si="78"/>
        <v>147.5</v>
      </c>
      <c r="O664" s="38">
        <f t="shared" ca="1" si="79"/>
        <v>8</v>
      </c>
      <c r="P664" s="36">
        <f t="shared" ca="1" si="77"/>
        <v>7670</v>
      </c>
      <c r="Q664" s="36">
        <f t="shared" ca="1" si="62"/>
        <v>7670</v>
      </c>
      <c r="R664" s="637" t="s">
        <v>30</v>
      </c>
    </row>
    <row r="665" spans="2:18" s="4" customFormat="1" ht="43.5" customHeight="1" x14ac:dyDescent="0.25">
      <c r="B665" s="24">
        <v>45075</v>
      </c>
      <c r="C665" s="24">
        <v>45091</v>
      </c>
      <c r="D665" s="54" t="s">
        <v>4288</v>
      </c>
      <c r="E665" s="26" t="s">
        <v>4326</v>
      </c>
      <c r="F665" s="54" t="s">
        <v>4340</v>
      </c>
      <c r="G665" s="54" t="s">
        <v>28</v>
      </c>
      <c r="H665" s="54" t="s">
        <v>4383</v>
      </c>
      <c r="I665" s="54" t="s">
        <v>19</v>
      </c>
      <c r="J665" s="54">
        <v>8850</v>
      </c>
      <c r="K665" s="54">
        <v>54.418599999999998</v>
      </c>
      <c r="L665" s="61">
        <f t="shared" si="76"/>
        <v>162.62821902805291</v>
      </c>
      <c r="M665" s="54">
        <v>60</v>
      </c>
      <c r="N665" s="58">
        <f t="shared" si="78"/>
        <v>147.5</v>
      </c>
      <c r="O665" s="38">
        <f t="shared" ca="1" si="79"/>
        <v>8</v>
      </c>
      <c r="P665" s="36">
        <f t="shared" ca="1" si="77"/>
        <v>7670</v>
      </c>
      <c r="Q665" s="36">
        <f t="shared" ca="1" si="62"/>
        <v>7670</v>
      </c>
      <c r="R665" s="637" t="s">
        <v>30</v>
      </c>
    </row>
    <row r="666" spans="2:18" s="4" customFormat="1" ht="43.5" customHeight="1" x14ac:dyDescent="0.25">
      <c r="B666" s="24">
        <v>45075</v>
      </c>
      <c r="C666" s="24">
        <v>45091</v>
      </c>
      <c r="D666" s="54" t="s">
        <v>4288</v>
      </c>
      <c r="E666" s="26" t="s">
        <v>4327</v>
      </c>
      <c r="F666" s="54" t="s">
        <v>4340</v>
      </c>
      <c r="G666" s="54" t="s">
        <v>28</v>
      </c>
      <c r="H666" s="54" t="s">
        <v>4383</v>
      </c>
      <c r="I666" s="54" t="s">
        <v>19</v>
      </c>
      <c r="J666" s="54">
        <v>8850</v>
      </c>
      <c r="K666" s="54">
        <v>54.418599999999998</v>
      </c>
      <c r="L666" s="61">
        <f t="shared" si="76"/>
        <v>162.62821902805291</v>
      </c>
      <c r="M666" s="54">
        <v>60</v>
      </c>
      <c r="N666" s="58">
        <f t="shared" si="78"/>
        <v>147.5</v>
      </c>
      <c r="O666" s="38">
        <f t="shared" ca="1" si="79"/>
        <v>8</v>
      </c>
      <c r="P666" s="36">
        <f t="shared" ca="1" si="77"/>
        <v>7670</v>
      </c>
      <c r="Q666" s="36">
        <f t="shared" ca="1" si="62"/>
        <v>7670</v>
      </c>
      <c r="R666" s="637" t="s">
        <v>30</v>
      </c>
    </row>
    <row r="667" spans="2:18" s="4" customFormat="1" ht="43.5" customHeight="1" x14ac:dyDescent="0.25">
      <c r="B667" s="24">
        <v>45075</v>
      </c>
      <c r="C667" s="24">
        <v>45091</v>
      </c>
      <c r="D667" s="54" t="s">
        <v>4288</v>
      </c>
      <c r="E667" s="26" t="s">
        <v>4328</v>
      </c>
      <c r="F667" s="54" t="s">
        <v>4340</v>
      </c>
      <c r="G667" s="54" t="s">
        <v>28</v>
      </c>
      <c r="H667" s="54" t="s">
        <v>4383</v>
      </c>
      <c r="I667" s="54" t="s">
        <v>19</v>
      </c>
      <c r="J667" s="54">
        <v>8850</v>
      </c>
      <c r="K667" s="54">
        <v>54.418599999999998</v>
      </c>
      <c r="L667" s="61">
        <f t="shared" si="76"/>
        <v>162.62821902805291</v>
      </c>
      <c r="M667" s="54">
        <v>60</v>
      </c>
      <c r="N667" s="58">
        <f t="shared" si="78"/>
        <v>147.5</v>
      </c>
      <c r="O667" s="38">
        <f t="shared" ca="1" si="79"/>
        <v>8</v>
      </c>
      <c r="P667" s="36">
        <f t="shared" ca="1" si="77"/>
        <v>7670</v>
      </c>
      <c r="Q667" s="36">
        <f t="shared" ca="1" si="62"/>
        <v>7670</v>
      </c>
      <c r="R667" s="637" t="s">
        <v>30</v>
      </c>
    </row>
    <row r="668" spans="2:18" s="4" customFormat="1" ht="43.5" customHeight="1" x14ac:dyDescent="0.25">
      <c r="B668" s="24">
        <v>45075</v>
      </c>
      <c r="C668" s="24">
        <v>45091</v>
      </c>
      <c r="D668" s="54" t="s">
        <v>4288</v>
      </c>
      <c r="E668" s="26" t="s">
        <v>4329</v>
      </c>
      <c r="F668" s="54" t="s">
        <v>4340</v>
      </c>
      <c r="G668" s="54" t="s">
        <v>28</v>
      </c>
      <c r="H668" s="54" t="s">
        <v>4383</v>
      </c>
      <c r="I668" s="54" t="s">
        <v>19</v>
      </c>
      <c r="J668" s="54">
        <v>8850</v>
      </c>
      <c r="K668" s="54">
        <v>54.418599999999998</v>
      </c>
      <c r="L668" s="61">
        <f t="shared" si="76"/>
        <v>162.62821902805291</v>
      </c>
      <c r="M668" s="54">
        <v>60</v>
      </c>
      <c r="N668" s="58">
        <f t="shared" si="78"/>
        <v>147.5</v>
      </c>
      <c r="O668" s="38">
        <f t="shared" ca="1" si="79"/>
        <v>8</v>
      </c>
      <c r="P668" s="36">
        <f t="shared" ca="1" si="77"/>
        <v>7670</v>
      </c>
      <c r="Q668" s="36">
        <f t="shared" ca="1" si="62"/>
        <v>7670</v>
      </c>
      <c r="R668" s="637" t="s">
        <v>30</v>
      </c>
    </row>
    <row r="669" spans="2:18" s="4" customFormat="1" ht="43.5" customHeight="1" x14ac:dyDescent="0.25">
      <c r="B669" s="24">
        <v>45075</v>
      </c>
      <c r="C669" s="24">
        <v>45091</v>
      </c>
      <c r="D669" s="54" t="s">
        <v>4288</v>
      </c>
      <c r="E669" s="26" t="s">
        <v>4330</v>
      </c>
      <c r="F669" s="54" t="s">
        <v>4340</v>
      </c>
      <c r="G669" s="54" t="s">
        <v>28</v>
      </c>
      <c r="H669" s="54" t="s">
        <v>4383</v>
      </c>
      <c r="I669" s="54" t="s">
        <v>19</v>
      </c>
      <c r="J669" s="54">
        <v>8850</v>
      </c>
      <c r="K669" s="54">
        <v>54.418599999999998</v>
      </c>
      <c r="L669" s="61">
        <f t="shared" si="76"/>
        <v>162.62821902805291</v>
      </c>
      <c r="M669" s="54">
        <v>60</v>
      </c>
      <c r="N669" s="58">
        <f t="shared" si="78"/>
        <v>147.5</v>
      </c>
      <c r="O669" s="38">
        <f t="shared" ca="1" si="79"/>
        <v>8</v>
      </c>
      <c r="P669" s="36">
        <f t="shared" ca="1" si="77"/>
        <v>7670</v>
      </c>
      <c r="Q669" s="36">
        <f t="shared" ref="Q669:Q685" ca="1" si="80">IF(P669&lt;1,1,P669)</f>
        <v>7670</v>
      </c>
      <c r="R669" s="637" t="s">
        <v>30</v>
      </c>
    </row>
    <row r="670" spans="2:18" s="4" customFormat="1" ht="43.5" customHeight="1" x14ac:dyDescent="0.25">
      <c r="B670" s="24">
        <v>45075</v>
      </c>
      <c r="C670" s="24">
        <v>45091</v>
      </c>
      <c r="D670" s="54" t="s">
        <v>4288</v>
      </c>
      <c r="E670" s="26" t="s">
        <v>4331</v>
      </c>
      <c r="F670" s="54" t="s">
        <v>4340</v>
      </c>
      <c r="G670" s="54" t="s">
        <v>28</v>
      </c>
      <c r="H670" s="54" t="s">
        <v>4383</v>
      </c>
      <c r="I670" s="54" t="s">
        <v>19</v>
      </c>
      <c r="J670" s="54">
        <v>8850</v>
      </c>
      <c r="K670" s="54">
        <v>54.418599999999998</v>
      </c>
      <c r="L670" s="61">
        <f t="shared" si="76"/>
        <v>162.62821902805291</v>
      </c>
      <c r="M670" s="54">
        <v>60</v>
      </c>
      <c r="N670" s="58">
        <f t="shared" si="78"/>
        <v>147.5</v>
      </c>
      <c r="O670" s="38">
        <f t="shared" ca="1" si="79"/>
        <v>8</v>
      </c>
      <c r="P670" s="36">
        <f t="shared" ca="1" si="77"/>
        <v>7670</v>
      </c>
      <c r="Q670" s="36">
        <f t="shared" ca="1" si="80"/>
        <v>7670</v>
      </c>
      <c r="R670" s="637" t="s">
        <v>30</v>
      </c>
    </row>
    <row r="671" spans="2:18" s="4" customFormat="1" ht="43.5" customHeight="1" x14ac:dyDescent="0.25">
      <c r="B671" s="24">
        <v>45075</v>
      </c>
      <c r="C671" s="24">
        <v>45091</v>
      </c>
      <c r="D671" s="54" t="s">
        <v>4288</v>
      </c>
      <c r="E671" s="26" t="s">
        <v>4332</v>
      </c>
      <c r="F671" s="54" t="s">
        <v>4340</v>
      </c>
      <c r="G671" s="54" t="s">
        <v>28</v>
      </c>
      <c r="H671" s="54" t="s">
        <v>4383</v>
      </c>
      <c r="I671" s="54" t="s">
        <v>19</v>
      </c>
      <c r="J671" s="54">
        <v>8850</v>
      </c>
      <c r="K671" s="54">
        <v>54.418599999999998</v>
      </c>
      <c r="L671" s="61">
        <f t="shared" si="76"/>
        <v>162.62821902805291</v>
      </c>
      <c r="M671" s="54">
        <v>60</v>
      </c>
      <c r="N671" s="58">
        <f t="shared" si="78"/>
        <v>147.5</v>
      </c>
      <c r="O671" s="38">
        <f t="shared" ca="1" si="79"/>
        <v>8</v>
      </c>
      <c r="P671" s="36">
        <f t="shared" ca="1" si="77"/>
        <v>7670</v>
      </c>
      <c r="Q671" s="36">
        <f t="shared" ca="1" si="80"/>
        <v>7670</v>
      </c>
      <c r="R671" s="637" t="s">
        <v>30</v>
      </c>
    </row>
    <row r="672" spans="2:18" s="4" customFormat="1" ht="43.5" customHeight="1" x14ac:dyDescent="0.25">
      <c r="B672" s="24">
        <v>45075</v>
      </c>
      <c r="C672" s="24">
        <v>45091</v>
      </c>
      <c r="D672" s="54" t="s">
        <v>4288</v>
      </c>
      <c r="E672" s="26" t="s">
        <v>4333</v>
      </c>
      <c r="F672" s="54" t="s">
        <v>4340</v>
      </c>
      <c r="G672" s="54" t="s">
        <v>28</v>
      </c>
      <c r="H672" s="54" t="s">
        <v>4394</v>
      </c>
      <c r="I672" s="54" t="s">
        <v>19</v>
      </c>
      <c r="J672" s="54">
        <v>8850</v>
      </c>
      <c r="K672" s="54">
        <v>54.418599999999998</v>
      </c>
      <c r="L672" s="61">
        <f t="shared" si="76"/>
        <v>162.62821902805291</v>
      </c>
      <c r="M672" s="54">
        <v>60</v>
      </c>
      <c r="N672" s="58">
        <f t="shared" si="78"/>
        <v>147.5</v>
      </c>
      <c r="O672" s="38">
        <f t="shared" ca="1" si="79"/>
        <v>8</v>
      </c>
      <c r="P672" s="36">
        <f t="shared" ca="1" si="77"/>
        <v>7670</v>
      </c>
      <c r="Q672" s="36">
        <f t="shared" ca="1" si="80"/>
        <v>7670</v>
      </c>
      <c r="R672" s="637" t="s">
        <v>30</v>
      </c>
    </row>
    <row r="673" spans="1:18" s="4" customFormat="1" ht="43.5" customHeight="1" x14ac:dyDescent="0.25">
      <c r="B673" s="24">
        <v>45075</v>
      </c>
      <c r="C673" s="24">
        <v>45091</v>
      </c>
      <c r="D673" s="54" t="s">
        <v>4288</v>
      </c>
      <c r="E673" s="26" t="s">
        <v>4334</v>
      </c>
      <c r="F673" s="54" t="s">
        <v>4340</v>
      </c>
      <c r="G673" s="54" t="s">
        <v>28</v>
      </c>
      <c r="H673" s="54" t="s">
        <v>4394</v>
      </c>
      <c r="I673" s="54" t="s">
        <v>19</v>
      </c>
      <c r="J673" s="54">
        <v>8850</v>
      </c>
      <c r="K673" s="54">
        <v>54.418599999999998</v>
      </c>
      <c r="L673" s="61">
        <f t="shared" si="76"/>
        <v>162.62821902805291</v>
      </c>
      <c r="M673" s="54">
        <v>60</v>
      </c>
      <c r="N673" s="58">
        <f t="shared" si="78"/>
        <v>147.5</v>
      </c>
      <c r="O673" s="38">
        <f t="shared" ca="1" si="79"/>
        <v>8</v>
      </c>
      <c r="P673" s="36">
        <f t="shared" ca="1" si="77"/>
        <v>7670</v>
      </c>
      <c r="Q673" s="36">
        <f t="shared" ca="1" si="80"/>
        <v>7670</v>
      </c>
      <c r="R673" s="637" t="s">
        <v>30</v>
      </c>
    </row>
    <row r="674" spans="1:18" s="4" customFormat="1" ht="43.5" customHeight="1" x14ac:dyDescent="0.25">
      <c r="B674" s="24">
        <v>45075</v>
      </c>
      <c r="C674" s="24">
        <v>45091</v>
      </c>
      <c r="D674" s="54" t="s">
        <v>4288</v>
      </c>
      <c r="E674" s="26" t="s">
        <v>4335</v>
      </c>
      <c r="F674" s="54" t="s">
        <v>4340</v>
      </c>
      <c r="G674" s="54" t="s">
        <v>28</v>
      </c>
      <c r="H674" s="610" t="s">
        <v>3481</v>
      </c>
      <c r="I674" s="54" t="s">
        <v>19</v>
      </c>
      <c r="J674" s="54">
        <v>8850</v>
      </c>
      <c r="K674" s="54">
        <v>54.418599999999998</v>
      </c>
      <c r="L674" s="61">
        <f t="shared" si="76"/>
        <v>162.62821902805291</v>
      </c>
      <c r="M674" s="54">
        <v>60</v>
      </c>
      <c r="N674" s="58">
        <f t="shared" si="78"/>
        <v>147.5</v>
      </c>
      <c r="O674" s="38">
        <f t="shared" ca="1" si="79"/>
        <v>8</v>
      </c>
      <c r="P674" s="36">
        <f t="shared" ca="1" si="77"/>
        <v>7670</v>
      </c>
      <c r="Q674" s="36">
        <f t="shared" ca="1" si="80"/>
        <v>7670</v>
      </c>
      <c r="R674" s="637" t="s">
        <v>30</v>
      </c>
    </row>
    <row r="675" spans="1:18" s="4" customFormat="1" ht="43.5" customHeight="1" x14ac:dyDescent="0.25">
      <c r="B675" s="24">
        <v>45075</v>
      </c>
      <c r="C675" s="24">
        <v>45091</v>
      </c>
      <c r="D675" s="54" t="s">
        <v>4288</v>
      </c>
      <c r="E675" s="26" t="s">
        <v>4336</v>
      </c>
      <c r="F675" s="54" t="s">
        <v>4341</v>
      </c>
      <c r="G675" s="54" t="s">
        <v>28</v>
      </c>
      <c r="H675" s="54" t="s">
        <v>4395</v>
      </c>
      <c r="I675" s="54" t="s">
        <v>19</v>
      </c>
      <c r="J675" s="54">
        <v>12584.7</v>
      </c>
      <c r="K675" s="54">
        <v>54.418599999999998</v>
      </c>
      <c r="L675" s="61">
        <f t="shared" si="76"/>
        <v>231.25732745789125</v>
      </c>
      <c r="M675" s="54">
        <v>60</v>
      </c>
      <c r="N675" s="58">
        <f t="shared" si="78"/>
        <v>209.745</v>
      </c>
      <c r="O675" s="38">
        <f t="shared" ca="1" si="79"/>
        <v>8</v>
      </c>
      <c r="P675" s="36">
        <f t="shared" ca="1" si="77"/>
        <v>10906.740000000002</v>
      </c>
      <c r="Q675" s="36">
        <f t="shared" ca="1" si="80"/>
        <v>10906.740000000002</v>
      </c>
      <c r="R675" s="637" t="s">
        <v>30</v>
      </c>
    </row>
    <row r="676" spans="1:18" s="4" customFormat="1" ht="51" customHeight="1" x14ac:dyDescent="0.25">
      <c r="B676" s="24">
        <v>45075</v>
      </c>
      <c r="C676" s="24">
        <v>45091</v>
      </c>
      <c r="D676" s="54" t="s">
        <v>4288</v>
      </c>
      <c r="E676" s="26" t="s">
        <v>4337</v>
      </c>
      <c r="F676" s="54" t="s">
        <v>4341</v>
      </c>
      <c r="G676" s="54" t="s">
        <v>28</v>
      </c>
      <c r="H676" s="54" t="s">
        <v>4396</v>
      </c>
      <c r="I676" s="54" t="s">
        <v>19</v>
      </c>
      <c r="J676" s="54">
        <v>12584.7</v>
      </c>
      <c r="K676" s="54">
        <v>54.418599999999998</v>
      </c>
      <c r="L676" s="61">
        <f t="shared" si="76"/>
        <v>231.25732745789125</v>
      </c>
      <c r="M676" s="54">
        <v>60</v>
      </c>
      <c r="N676" s="58">
        <f t="shared" si="78"/>
        <v>209.745</v>
      </c>
      <c r="O676" s="38">
        <f t="shared" ca="1" si="79"/>
        <v>8</v>
      </c>
      <c r="P676" s="36">
        <f t="shared" ca="1" si="77"/>
        <v>10906.740000000002</v>
      </c>
      <c r="Q676" s="36">
        <f t="shared" ca="1" si="80"/>
        <v>10906.740000000002</v>
      </c>
      <c r="R676" s="637" t="s">
        <v>30</v>
      </c>
    </row>
    <row r="677" spans="1:18" s="4" customFormat="1" ht="51" customHeight="1" x14ac:dyDescent="0.25">
      <c r="B677" s="694">
        <v>45131</v>
      </c>
      <c r="C677" s="694">
        <v>44928</v>
      </c>
      <c r="D677" s="54" t="s">
        <v>4582</v>
      </c>
      <c r="E677" s="696" t="s">
        <v>4575</v>
      </c>
      <c r="F677" s="54" t="s">
        <v>4573</v>
      </c>
      <c r="G677" s="54" t="s">
        <v>4577</v>
      </c>
      <c r="H677" s="695" t="s">
        <v>4581</v>
      </c>
      <c r="I677" s="54" t="s">
        <v>19</v>
      </c>
      <c r="J677" s="659">
        <v>14750</v>
      </c>
      <c r="K677" s="54">
        <v>55.754399999999997</v>
      </c>
      <c r="L677" s="713">
        <f t="shared" si="76"/>
        <v>264.55311150330738</v>
      </c>
      <c r="M677" s="695">
        <v>60</v>
      </c>
      <c r="N677" s="697">
        <f t="shared" si="78"/>
        <v>245.83333333333334</v>
      </c>
      <c r="O677" s="698">
        <f ca="1">IF(B677&lt;&gt;0,(ROUND((NOW()-B677)/30,0)),0)</f>
        <v>6</v>
      </c>
      <c r="P677" s="36">
        <f t="shared" ca="1" si="77"/>
        <v>13275</v>
      </c>
      <c r="Q677" s="699">
        <f t="shared" ca="1" si="80"/>
        <v>13275</v>
      </c>
      <c r="R677" s="54" t="s">
        <v>4580</v>
      </c>
    </row>
    <row r="678" spans="1:18" s="4" customFormat="1" ht="51" customHeight="1" x14ac:dyDescent="0.25">
      <c r="B678" s="694">
        <v>45131</v>
      </c>
      <c r="C678" s="694">
        <v>44928</v>
      </c>
      <c r="D678" s="54" t="s">
        <v>4582</v>
      </c>
      <c r="E678" s="696" t="s">
        <v>4576</v>
      </c>
      <c r="F678" s="54" t="s">
        <v>4573</v>
      </c>
      <c r="G678" s="54" t="s">
        <v>4578</v>
      </c>
      <c r="H678" s="695" t="s">
        <v>4579</v>
      </c>
      <c r="I678" s="54" t="s">
        <v>19</v>
      </c>
      <c r="J678" s="659">
        <v>14750</v>
      </c>
      <c r="K678" s="54">
        <v>55.754399999999997</v>
      </c>
      <c r="L678" s="713">
        <f t="shared" si="76"/>
        <v>264.55311150330738</v>
      </c>
      <c r="M678" s="695">
        <v>60</v>
      </c>
      <c r="N678" s="697">
        <f t="shared" si="78"/>
        <v>245.83333333333334</v>
      </c>
      <c r="O678" s="698">
        <f ca="1">IF(B678&lt;&gt;0,(ROUND((NOW()-B678)/30,0)),0)</f>
        <v>6</v>
      </c>
      <c r="P678" s="36">
        <f t="shared" ca="1" si="77"/>
        <v>13275</v>
      </c>
      <c r="Q678" s="699">
        <f t="shared" ca="1" si="80"/>
        <v>13275</v>
      </c>
      <c r="R678" s="54" t="s">
        <v>4580</v>
      </c>
    </row>
    <row r="679" spans="1:18" s="4" customFormat="1" ht="51" customHeight="1" x14ac:dyDescent="0.25">
      <c r="B679" s="694">
        <v>45229</v>
      </c>
      <c r="C679" s="694">
        <v>45259</v>
      </c>
      <c r="D679" s="695" t="s">
        <v>4469</v>
      </c>
      <c r="E679" s="696" t="s">
        <v>4470</v>
      </c>
      <c r="F679" s="659" t="s">
        <v>4471</v>
      </c>
      <c r="G679" s="695" t="s">
        <v>28</v>
      </c>
      <c r="H679" s="695" t="s">
        <v>4472</v>
      </c>
      <c r="I679" s="695" t="s">
        <v>19</v>
      </c>
      <c r="J679" s="659">
        <v>3596800</v>
      </c>
      <c r="K679" s="54">
        <v>56.5916</v>
      </c>
      <c r="L679" s="660">
        <f t="shared" si="76"/>
        <v>63557.135687981965</v>
      </c>
      <c r="M679" s="695">
        <v>60</v>
      </c>
      <c r="N679" s="697">
        <f t="shared" si="78"/>
        <v>59946.666666666664</v>
      </c>
      <c r="O679" s="698">
        <f t="shared" ca="1" si="79"/>
        <v>2</v>
      </c>
      <c r="P679" s="36">
        <f t="shared" ca="1" si="77"/>
        <v>3476906.6666666665</v>
      </c>
      <c r="Q679" s="699">
        <f t="shared" ca="1" si="80"/>
        <v>3476906.6666666665</v>
      </c>
      <c r="R679" s="700" t="s">
        <v>30</v>
      </c>
    </row>
    <row r="680" spans="1:18" s="4" customFormat="1" ht="64.5" customHeight="1" x14ac:dyDescent="0.25">
      <c r="A680" s="709"/>
      <c r="B680" s="24">
        <v>45273</v>
      </c>
      <c r="C680" s="24">
        <v>45280</v>
      </c>
      <c r="D680" s="695" t="s">
        <v>4469</v>
      </c>
      <c r="E680" s="696" t="s">
        <v>4562</v>
      </c>
      <c r="F680" s="54" t="s">
        <v>4567</v>
      </c>
      <c r="G680" s="695" t="s">
        <v>28</v>
      </c>
      <c r="H680" s="54" t="s">
        <v>4383</v>
      </c>
      <c r="I680" s="695" t="s">
        <v>19</v>
      </c>
      <c r="J680" s="54">
        <v>9127</v>
      </c>
      <c r="K680" s="54">
        <v>57.060400000000001</v>
      </c>
      <c r="L680" s="61">
        <f t="shared" si="76"/>
        <v>159.95331263012525</v>
      </c>
      <c r="M680" s="695">
        <v>60</v>
      </c>
      <c r="N680" s="697">
        <f t="shared" si="78"/>
        <v>152.11666666666667</v>
      </c>
      <c r="O680" s="698">
        <f t="shared" ca="1" si="79"/>
        <v>1</v>
      </c>
      <c r="P680" s="36">
        <f t="shared" ca="1" si="77"/>
        <v>8974.8833333333332</v>
      </c>
      <c r="Q680" s="699">
        <f t="shared" ca="1" si="80"/>
        <v>8974.8833333333332</v>
      </c>
      <c r="R680" s="700" t="s">
        <v>30</v>
      </c>
    </row>
    <row r="681" spans="1:18" s="4" customFormat="1" ht="67.5" customHeight="1" x14ac:dyDescent="0.25">
      <c r="A681" s="709"/>
      <c r="B681" s="24">
        <v>45273</v>
      </c>
      <c r="C681" s="24">
        <v>45280</v>
      </c>
      <c r="D681" s="695" t="s">
        <v>4469</v>
      </c>
      <c r="E681" s="696" t="s">
        <v>4563</v>
      </c>
      <c r="F681" s="54" t="s">
        <v>4567</v>
      </c>
      <c r="G681" s="695" t="s">
        <v>28</v>
      </c>
      <c r="H681" s="54"/>
      <c r="I681" s="695" t="s">
        <v>19</v>
      </c>
      <c r="J681" s="54">
        <v>9127</v>
      </c>
      <c r="K681" s="54">
        <v>57.060400000000001</v>
      </c>
      <c r="L681" s="61">
        <f t="shared" si="76"/>
        <v>159.95331263012525</v>
      </c>
      <c r="M681" s="695">
        <v>60</v>
      </c>
      <c r="N681" s="697">
        <f t="shared" si="78"/>
        <v>152.11666666666667</v>
      </c>
      <c r="O681" s="698">
        <f t="shared" ca="1" si="79"/>
        <v>1</v>
      </c>
      <c r="P681" s="36">
        <f t="shared" ca="1" si="77"/>
        <v>8974.8833333333332</v>
      </c>
      <c r="Q681" s="699">
        <f t="shared" ca="1" si="80"/>
        <v>8974.8833333333332</v>
      </c>
      <c r="R681" s="700" t="s">
        <v>30</v>
      </c>
    </row>
    <row r="682" spans="1:18" s="4" customFormat="1" ht="57" customHeight="1" x14ac:dyDescent="0.25">
      <c r="A682" s="709"/>
      <c r="B682" s="24">
        <v>45273</v>
      </c>
      <c r="C682" s="24">
        <v>45280</v>
      </c>
      <c r="D682" s="695" t="s">
        <v>4469</v>
      </c>
      <c r="E682" s="696" t="s">
        <v>4564</v>
      </c>
      <c r="F682" s="695" t="s">
        <v>4568</v>
      </c>
      <c r="G682" s="695" t="s">
        <v>28</v>
      </c>
      <c r="H682" s="54" t="s">
        <v>4383</v>
      </c>
      <c r="I682" s="695" t="s">
        <v>19</v>
      </c>
      <c r="J682" s="695">
        <v>8850</v>
      </c>
      <c r="K682" s="54">
        <v>57.060400000000001</v>
      </c>
      <c r="L682" s="61">
        <f t="shared" si="76"/>
        <v>155.09880757933698</v>
      </c>
      <c r="M682" s="695">
        <v>60</v>
      </c>
      <c r="N682" s="697">
        <f t="shared" si="78"/>
        <v>147.5</v>
      </c>
      <c r="O682" s="698">
        <f t="shared" ca="1" si="79"/>
        <v>1</v>
      </c>
      <c r="P682" s="36">
        <f t="shared" ca="1" si="77"/>
        <v>8702.5</v>
      </c>
      <c r="Q682" s="699">
        <f t="shared" ca="1" si="80"/>
        <v>8702.5</v>
      </c>
      <c r="R682" s="700" t="s">
        <v>30</v>
      </c>
    </row>
    <row r="683" spans="1:18" s="4" customFormat="1" ht="51" customHeight="1" x14ac:dyDescent="0.25">
      <c r="B683" s="24">
        <v>45273</v>
      </c>
      <c r="C683" s="24">
        <v>45280</v>
      </c>
      <c r="D683" s="695" t="s">
        <v>4469</v>
      </c>
      <c r="E683" s="696" t="s">
        <v>4565</v>
      </c>
      <c r="F683" s="659" t="s">
        <v>4569</v>
      </c>
      <c r="G683" s="695" t="s">
        <v>28</v>
      </c>
      <c r="H683" s="659"/>
      <c r="I683" s="695" t="s">
        <v>19</v>
      </c>
      <c r="J683" s="659">
        <v>9765</v>
      </c>
      <c r="K683" s="54">
        <v>57.060400000000001</v>
      </c>
      <c r="L683" s="61">
        <f t="shared" si="76"/>
        <v>171.13444700703116</v>
      </c>
      <c r="M683" s="695">
        <v>60</v>
      </c>
      <c r="N683" s="697">
        <f t="shared" si="78"/>
        <v>162.75</v>
      </c>
      <c r="O683" s="698">
        <f t="shared" ca="1" si="79"/>
        <v>1</v>
      </c>
      <c r="P683" s="36">
        <f t="shared" ca="1" si="77"/>
        <v>9602.25</v>
      </c>
      <c r="Q683" s="699">
        <f t="shared" ca="1" si="80"/>
        <v>9602.25</v>
      </c>
      <c r="R683" s="700" t="s">
        <v>30</v>
      </c>
    </row>
    <row r="684" spans="1:18" s="4" customFormat="1" ht="51" customHeight="1" x14ac:dyDescent="0.25">
      <c r="B684" s="694">
        <v>45273</v>
      </c>
      <c r="C684" s="24">
        <v>45280</v>
      </c>
      <c r="D684" s="695" t="s">
        <v>4469</v>
      </c>
      <c r="E684" s="696" t="s">
        <v>4566</v>
      </c>
      <c r="F684" s="659" t="s">
        <v>4569</v>
      </c>
      <c r="G684" s="695" t="s">
        <v>28</v>
      </c>
      <c r="H684" s="695" t="s">
        <v>4383</v>
      </c>
      <c r="I684" s="695" t="s">
        <v>19</v>
      </c>
      <c r="J684" s="659">
        <v>9765</v>
      </c>
      <c r="K684" s="695">
        <v>57.060400000000001</v>
      </c>
      <c r="L684" s="710">
        <f t="shared" si="76"/>
        <v>171.13444700703116</v>
      </c>
      <c r="M684" s="695">
        <v>60</v>
      </c>
      <c r="N684" s="697">
        <f t="shared" si="78"/>
        <v>162.75</v>
      </c>
      <c r="O684" s="698">
        <f t="shared" ca="1" si="79"/>
        <v>1</v>
      </c>
      <c r="P684" s="36">
        <f t="shared" ca="1" si="77"/>
        <v>9602.25</v>
      </c>
      <c r="Q684" s="699">
        <f t="shared" ca="1" si="80"/>
        <v>9602.25</v>
      </c>
      <c r="R684" s="700" t="s">
        <v>30</v>
      </c>
    </row>
    <row r="685" spans="1:18" s="4" customFormat="1" ht="51" customHeight="1" x14ac:dyDescent="0.25">
      <c r="B685" s="24">
        <v>45281</v>
      </c>
      <c r="C685" s="24">
        <v>45289</v>
      </c>
      <c r="D685" s="54" t="s">
        <v>4571</v>
      </c>
      <c r="E685" s="696" t="s">
        <v>4572</v>
      </c>
      <c r="F685" s="54" t="s">
        <v>4573</v>
      </c>
      <c r="G685" s="54" t="s">
        <v>4574</v>
      </c>
      <c r="H685" s="54" t="s">
        <v>4384</v>
      </c>
      <c r="I685" s="54" t="s">
        <v>19</v>
      </c>
      <c r="J685" s="54">
        <v>15930</v>
      </c>
      <c r="K685" s="54">
        <v>57.567399999999999</v>
      </c>
      <c r="L685" s="61">
        <f t="shared" si="76"/>
        <v>276.71911533263619</v>
      </c>
      <c r="M685" s="54">
        <v>60</v>
      </c>
      <c r="N685" s="58">
        <f t="shared" si="78"/>
        <v>265.5</v>
      </c>
      <c r="O685" s="38">
        <f t="shared" ca="1" si="79"/>
        <v>1</v>
      </c>
      <c r="P685" s="36">
        <f t="shared" ca="1" si="77"/>
        <v>15664.5</v>
      </c>
      <c r="Q685" s="36">
        <f t="shared" ca="1" si="80"/>
        <v>15664.5</v>
      </c>
      <c r="R685" s="54" t="s">
        <v>4580</v>
      </c>
    </row>
    <row r="686" spans="1:18" s="1" customFormat="1" ht="15.75" customHeight="1" thickBot="1" x14ac:dyDescent="0.25">
      <c r="B686" s="66"/>
      <c r="C686" s="528"/>
      <c r="D686" s="67"/>
      <c r="E686" s="842" t="s">
        <v>2334</v>
      </c>
      <c r="F686" s="842"/>
      <c r="G686" s="842"/>
      <c r="H686" s="842"/>
      <c r="I686" s="701"/>
      <c r="J686" s="702">
        <f>SUBTOTAL(9,J8:J685)</f>
        <v>34293062.780600086</v>
      </c>
      <c r="K686" s="703"/>
      <c r="L686" s="702">
        <f>SUBTOTAL(9,L8:L685)</f>
        <v>675526.66908927343</v>
      </c>
      <c r="M686" s="704"/>
      <c r="N686" s="697"/>
      <c r="O686" s="705"/>
      <c r="P686" s="706">
        <f ca="1">SUBTOTAL(9,P8:P685)</f>
        <v>-1943694.9406722109</v>
      </c>
      <c r="Q686" s="707">
        <f ca="1">SUM(Q8:Q685)</f>
        <v>5720233.7229027804</v>
      </c>
      <c r="R686" s="708"/>
    </row>
    <row r="687" spans="1:18" s="1" customFormat="1" ht="6.75" customHeight="1" thickTop="1" x14ac:dyDescent="0.2">
      <c r="B687" s="68"/>
      <c r="C687" s="529"/>
      <c r="D687" s="69"/>
      <c r="E687" s="69"/>
      <c r="F687" s="70"/>
      <c r="G687" s="69"/>
      <c r="H687" s="71"/>
      <c r="I687" s="71"/>
      <c r="J687" s="76"/>
      <c r="L687" s="125"/>
      <c r="M687" s="126"/>
      <c r="N687" s="127"/>
      <c r="O687" s="128"/>
      <c r="P687" s="125"/>
      <c r="Q687" s="125"/>
      <c r="R687" s="150"/>
    </row>
    <row r="688" spans="1:18" s="1" customFormat="1" ht="19.149999999999999" customHeight="1" x14ac:dyDescent="0.2">
      <c r="B688" s="68"/>
      <c r="C688" s="529"/>
      <c r="D688" s="69"/>
      <c r="E688" s="69"/>
      <c r="F688" s="70"/>
      <c r="G688" s="71"/>
      <c r="H688" s="71"/>
      <c r="I688" s="71"/>
      <c r="J688" s="76"/>
      <c r="L688" s="125"/>
      <c r="M688" s="126"/>
      <c r="N688" s="127"/>
      <c r="O688" s="128"/>
      <c r="P688" s="125"/>
      <c r="Q688" s="125"/>
      <c r="R688" s="150"/>
    </row>
    <row r="689" spans="2:18" s="1" customFormat="1" ht="15" customHeight="1" thickBot="1" x14ac:dyDescent="0.25">
      <c r="B689" s="68"/>
      <c r="C689" s="529"/>
      <c r="D689" s="69"/>
      <c r="E689" s="69"/>
      <c r="F689" s="70"/>
      <c r="G689" s="71"/>
      <c r="H689" s="71"/>
      <c r="I689" s="71"/>
      <c r="J689" s="76"/>
      <c r="L689" s="127"/>
      <c r="M689" s="129"/>
      <c r="N689" s="127"/>
      <c r="O689" s="128"/>
      <c r="P689" s="125"/>
      <c r="Q689" s="125"/>
      <c r="R689" s="150"/>
    </row>
    <row r="690" spans="2:18" s="1" customFormat="1" ht="17.25" customHeight="1" thickBot="1" x14ac:dyDescent="0.3">
      <c r="B690" s="68"/>
      <c r="C690" s="529"/>
      <c r="D690" s="72"/>
      <c r="E690" s="72"/>
      <c r="F690" s="70"/>
      <c r="G690" s="864" t="s">
        <v>2335</v>
      </c>
      <c r="H690" s="865"/>
      <c r="I690" s="866"/>
      <c r="J690" s="130"/>
      <c r="L690" s="131" t="s">
        <v>2645</v>
      </c>
      <c r="M690" s="132" t="s">
        <v>2646</v>
      </c>
      <c r="P690" s="125"/>
      <c r="Q690" s="125"/>
      <c r="R690" s="150"/>
    </row>
    <row r="691" spans="2:18" s="1" customFormat="1" ht="26.25" thickBot="1" x14ac:dyDescent="0.3">
      <c r="B691" s="68"/>
      <c r="C691" s="529"/>
      <c r="D691" s="72"/>
      <c r="E691" s="72"/>
      <c r="F691" s="70"/>
      <c r="G691" s="73"/>
      <c r="H691" s="74" t="s">
        <v>2336</v>
      </c>
      <c r="I691" s="75" t="s">
        <v>2337</v>
      </c>
      <c r="J691" s="130"/>
      <c r="L691" s="131" t="s">
        <v>2647</v>
      </c>
      <c r="M691" s="133" t="s">
        <v>2648</v>
      </c>
      <c r="P691" s="125"/>
      <c r="Q691" s="125"/>
      <c r="R691" s="150"/>
    </row>
    <row r="692" spans="2:18" s="1" customFormat="1" ht="19.899999999999999" customHeight="1" thickBot="1" x14ac:dyDescent="0.3">
      <c r="B692" s="68"/>
      <c r="C692" s="529"/>
      <c r="D692" s="76"/>
      <c r="E692" s="76"/>
      <c r="F692" s="77"/>
      <c r="G692" s="78" t="s">
        <v>2349</v>
      </c>
      <c r="H692" s="79">
        <f>SUBTOTAL(9,J8:J25)</f>
        <v>953116.72000000009</v>
      </c>
      <c r="I692" s="80">
        <f>SUBTOTAL(9,L8:L25)</f>
        <v>21078.116359826665</v>
      </c>
      <c r="J692" s="134"/>
      <c r="K692" s="135"/>
      <c r="L692" s="136" t="s">
        <v>2649</v>
      </c>
      <c r="M692" s="132" t="s">
        <v>3975</v>
      </c>
      <c r="P692" s="125"/>
      <c r="Q692" s="125"/>
      <c r="R692" s="150"/>
    </row>
    <row r="693" spans="2:18" s="1" customFormat="1" ht="19.899999999999999" customHeight="1" thickBot="1" x14ac:dyDescent="0.3">
      <c r="B693" s="68"/>
      <c r="C693" s="529"/>
      <c r="D693" s="76"/>
      <c r="E693" s="76"/>
      <c r="F693" s="81"/>
      <c r="G693" s="82" t="s">
        <v>2350</v>
      </c>
      <c r="H693" s="83">
        <v>0</v>
      </c>
      <c r="I693" s="80">
        <v>0</v>
      </c>
      <c r="J693" s="134"/>
      <c r="K693" s="135"/>
      <c r="L693" s="134"/>
      <c r="M693" s="135"/>
      <c r="N693" s="131"/>
      <c r="O693" s="133"/>
      <c r="P693" s="125"/>
      <c r="Q693" s="125"/>
      <c r="R693" s="150"/>
    </row>
    <row r="694" spans="2:18" s="1" customFormat="1" ht="19.899999999999999" customHeight="1" thickBot="1" x14ac:dyDescent="0.3">
      <c r="B694" s="68"/>
      <c r="C694" s="529"/>
      <c r="D694" s="76"/>
      <c r="E694" s="76"/>
      <c r="F694" s="81"/>
      <c r="G694" s="82" t="s">
        <v>2353</v>
      </c>
      <c r="H694" s="80">
        <f>SUBTOTAL(9,J26:J158)</f>
        <v>13674477.669999996</v>
      </c>
      <c r="I694" s="80">
        <f>SUBTOTAL(9,L26:L158)</f>
        <v>284584.53802105895</v>
      </c>
      <c r="J694" s="137" t="s">
        <v>4397</v>
      </c>
      <c r="K694" s="134"/>
      <c r="L694" s="135"/>
      <c r="M694" s="135"/>
      <c r="N694" s="135"/>
      <c r="O694" s="125"/>
      <c r="P694" s="70"/>
      <c r="Q694" s="70"/>
      <c r="R694" s="108"/>
    </row>
    <row r="695" spans="2:18" s="1" customFormat="1" ht="19.899999999999999" customHeight="1" thickBot="1" x14ac:dyDescent="0.25">
      <c r="B695" s="68"/>
      <c r="C695" s="529"/>
      <c r="D695" s="76"/>
      <c r="E695" s="76"/>
      <c r="F695" s="81"/>
      <c r="G695" s="82" t="s">
        <v>2354</v>
      </c>
      <c r="H695" s="80">
        <f>SUBTOTAL(9,J159:J269)</f>
        <v>6222757.8010000009</v>
      </c>
      <c r="I695" s="79">
        <f>SUBTOTAL(9,L159:L269)</f>
        <v>126665.43787485553</v>
      </c>
      <c r="K695" s="134"/>
      <c r="L695" s="135"/>
      <c r="M695" s="135"/>
      <c r="N695" s="135"/>
      <c r="O695" s="125"/>
      <c r="P695" s="70"/>
      <c r="Q695" s="70"/>
      <c r="R695" s="108"/>
    </row>
    <row r="696" spans="2:18" s="1" customFormat="1" ht="19.899999999999999" customHeight="1" thickBot="1" x14ac:dyDescent="0.3">
      <c r="B696" s="68"/>
      <c r="C696" s="529"/>
      <c r="D696" s="76"/>
      <c r="E696" s="76"/>
      <c r="F696" s="81"/>
      <c r="G696" s="82" t="s">
        <v>2355</v>
      </c>
      <c r="H696" s="80">
        <f>SUM(J270:J326)</f>
        <v>1307945.2999999998</v>
      </c>
      <c r="I696" s="84">
        <f>SUM(L270:L326)</f>
        <v>25135.00698363733</v>
      </c>
      <c r="J696" s="137"/>
      <c r="K696" s="134"/>
      <c r="L696" s="135"/>
      <c r="M696" s="135"/>
      <c r="N696" s="135"/>
      <c r="O696" s="125"/>
      <c r="P696" s="70"/>
      <c r="Q696" s="70"/>
      <c r="R696" s="108"/>
    </row>
    <row r="697" spans="2:18" s="1" customFormat="1" ht="19.899999999999999" customHeight="1" thickBot="1" x14ac:dyDescent="0.3">
      <c r="B697" s="68"/>
      <c r="C697" s="529"/>
      <c r="D697" s="76"/>
      <c r="E697" s="76"/>
      <c r="F697" s="81"/>
      <c r="G697" s="82" t="s">
        <v>2356</v>
      </c>
      <c r="H697" s="80">
        <f>SUM(J327:J363)</f>
        <v>1998444.3696000003</v>
      </c>
      <c r="I697" s="79">
        <f>SUM(L327:L363)</f>
        <v>35104.55237141125</v>
      </c>
      <c r="J697" s="137" t="s">
        <v>3976</v>
      </c>
      <c r="K697" s="134"/>
      <c r="L697" s="135"/>
      <c r="M697" s="135"/>
      <c r="N697" s="135"/>
      <c r="O697" s="125"/>
      <c r="P697" s="70"/>
      <c r="Q697" s="70"/>
      <c r="R697" s="108"/>
    </row>
    <row r="698" spans="2:18" s="1" customFormat="1" ht="19.899999999999999" customHeight="1" thickBot="1" x14ac:dyDescent="0.3">
      <c r="B698" s="68"/>
      <c r="C698" s="529"/>
      <c r="D698" s="76"/>
      <c r="E698" s="76"/>
      <c r="F698" s="81"/>
      <c r="G698" s="85" t="s">
        <v>2652</v>
      </c>
      <c r="H698" s="80">
        <f>SUM(J364:J524)</f>
        <v>4403099.9799999986</v>
      </c>
      <c r="I698" s="84">
        <f>SUM(L364:L524)</f>
        <v>81276.671092540957</v>
      </c>
      <c r="J698" s="137"/>
      <c r="K698" s="134"/>
      <c r="L698" s="135"/>
      <c r="M698" s="135"/>
      <c r="N698" s="135"/>
      <c r="O698" s="125"/>
      <c r="P698" s="70"/>
      <c r="Q698" s="70"/>
      <c r="R698" s="108"/>
    </row>
    <row r="699" spans="2:18" s="1" customFormat="1" ht="19.899999999999999" customHeight="1" x14ac:dyDescent="0.25">
      <c r="B699" s="68"/>
      <c r="C699" s="529"/>
      <c r="D699" s="76"/>
      <c r="E699" s="76"/>
      <c r="F699" s="81"/>
      <c r="G699" s="255" t="s">
        <v>2653</v>
      </c>
      <c r="H699" s="87">
        <f>SUM(J525:J626)</f>
        <v>1500925.6399999994</v>
      </c>
      <c r="I699" s="88">
        <f>SUM(L525:L626)</f>
        <v>26515.979452761043</v>
      </c>
      <c r="J699" s="138"/>
      <c r="K699" s="134"/>
      <c r="L699" s="135"/>
      <c r="M699" s="135"/>
      <c r="N699" s="135"/>
      <c r="O699" s="125"/>
      <c r="P699" s="70"/>
      <c r="Q699" s="70"/>
      <c r="R699" s="108"/>
    </row>
    <row r="700" spans="2:18" s="1" customFormat="1" ht="19.899999999999999" customHeight="1" x14ac:dyDescent="0.25">
      <c r="B700" s="68"/>
      <c r="C700" s="529"/>
      <c r="D700" s="76"/>
      <c r="E700" s="76"/>
      <c r="F700" s="81"/>
      <c r="G700" s="516" t="s">
        <v>4342</v>
      </c>
      <c r="H700" s="517">
        <f>SUM(J627:J685)</f>
        <v>4232295.3</v>
      </c>
      <c r="I700" s="517">
        <f>SUM(L627:L685)</f>
        <v>75166.366933186131</v>
      </c>
      <c r="J700" s="137"/>
      <c r="K700" s="134"/>
      <c r="L700" s="135"/>
      <c r="M700" s="135"/>
      <c r="N700" s="135"/>
      <c r="O700" s="125"/>
      <c r="P700" s="70"/>
      <c r="Q700" s="70"/>
      <c r="R700" s="108"/>
    </row>
    <row r="701" spans="2:18" s="1" customFormat="1" ht="18.75" customHeight="1" thickBot="1" x14ac:dyDescent="0.25">
      <c r="B701" s="68"/>
      <c r="C701" s="529"/>
      <c r="D701" s="72"/>
      <c r="E701" s="72"/>
      <c r="F701" s="70"/>
      <c r="G701" s="514" t="s">
        <v>2359</v>
      </c>
      <c r="H701" s="515">
        <f>SUM(H692:H700)</f>
        <v>34293062.780599996</v>
      </c>
      <c r="I701" s="515">
        <f>SUM(I692:I700)</f>
        <v>675526.66908927774</v>
      </c>
      <c r="J701" s="139"/>
      <c r="L701" s="140"/>
      <c r="R701" s="150"/>
    </row>
    <row r="702" spans="2:18" s="1" customFormat="1" x14ac:dyDescent="0.2">
      <c r="B702" s="68"/>
      <c r="C702" s="529"/>
      <c r="D702" s="72"/>
      <c r="E702" s="72"/>
      <c r="F702" s="70"/>
      <c r="G702" s="89"/>
      <c r="H702" s="90"/>
      <c r="I702" s="90"/>
      <c r="J702" s="139"/>
      <c r="R702" s="150"/>
    </row>
    <row r="703" spans="2:18" s="1" customFormat="1" x14ac:dyDescent="0.2">
      <c r="B703" s="91"/>
      <c r="C703" s="538"/>
      <c r="D703" s="92"/>
      <c r="E703" s="92"/>
      <c r="G703" s="93"/>
      <c r="H703" s="94"/>
      <c r="I703" s="94"/>
      <c r="J703" s="141"/>
      <c r="K703" s="142"/>
      <c r="L703" s="142"/>
      <c r="M703" s="142"/>
      <c r="N703" s="142"/>
      <c r="O703" s="142"/>
      <c r="P703" s="142"/>
      <c r="Q703" s="142"/>
      <c r="R703" s="151"/>
    </row>
    <row r="704" spans="2:18" s="1" customFormat="1" ht="3.75" customHeight="1" x14ac:dyDescent="0.2">
      <c r="B704" s="95"/>
      <c r="C704" s="539"/>
      <c r="D704" s="96"/>
      <c r="E704" s="96"/>
      <c r="F704" s="97"/>
      <c r="G704" s="98"/>
      <c r="H704" s="99"/>
      <c r="I704" s="99"/>
      <c r="J704" s="143"/>
      <c r="K704" s="144"/>
      <c r="L704" s="144"/>
      <c r="M704" s="144"/>
      <c r="N704" s="144"/>
      <c r="O704" s="144"/>
      <c r="P704" s="144"/>
      <c r="Q704" s="144"/>
      <c r="R704" s="152"/>
    </row>
    <row r="705" spans="1:18" s="7" customFormat="1" ht="15" x14ac:dyDescent="0.25">
      <c r="B705" s="100" t="s">
        <v>2360</v>
      </c>
      <c r="C705" s="530"/>
      <c r="D705" s="101"/>
      <c r="E705" s="101"/>
      <c r="F705" s="102"/>
      <c r="G705" s="103"/>
      <c r="H705" s="846" t="s">
        <v>2361</v>
      </c>
      <c r="I705" s="846"/>
      <c r="J705" s="846" t="s">
        <v>2362</v>
      </c>
      <c r="K705" s="846"/>
      <c r="L705" s="846"/>
      <c r="M705" s="846"/>
      <c r="N705" s="145"/>
      <c r="O705" s="846"/>
      <c r="P705" s="846"/>
      <c r="Q705" s="853"/>
    </row>
    <row r="706" spans="1:18" s="1" customFormat="1" x14ac:dyDescent="0.2">
      <c r="B706" s="68"/>
      <c r="C706" s="529"/>
      <c r="D706" s="72"/>
      <c r="E706" s="72"/>
      <c r="F706" s="81"/>
      <c r="G706" s="105"/>
      <c r="H706" s="90"/>
      <c r="I706" s="90"/>
      <c r="M706" s="90"/>
      <c r="Q706" s="150"/>
    </row>
    <row r="707" spans="1:18" s="1" customFormat="1" ht="14.25" x14ac:dyDescent="0.2">
      <c r="B707" s="68"/>
      <c r="C707" s="529"/>
      <c r="D707" s="72"/>
      <c r="E707" s="72"/>
      <c r="F707" s="106"/>
      <c r="G707" s="107"/>
      <c r="H707" s="90"/>
      <c r="I707" s="90"/>
      <c r="M707" s="90"/>
      <c r="Q707" s="150"/>
    </row>
    <row r="708" spans="1:18" s="1" customFormat="1" x14ac:dyDescent="0.2">
      <c r="A708" s="108"/>
      <c r="B708" s="109" t="s">
        <v>4398</v>
      </c>
      <c r="C708" s="335"/>
      <c r="D708" s="72"/>
      <c r="E708" s="72"/>
      <c r="F708" s="70"/>
      <c r="G708" s="110"/>
      <c r="H708" s="94"/>
      <c r="I708" s="94"/>
      <c r="J708" s="142"/>
      <c r="K708" s="142"/>
      <c r="L708" s="142"/>
      <c r="M708" s="94"/>
      <c r="N708" s="876" t="s">
        <v>4942</v>
      </c>
      <c r="O708" s="142"/>
      <c r="P708" s="151"/>
      <c r="R708" s="877"/>
    </row>
    <row r="709" spans="1:18" s="8" customFormat="1" ht="15" x14ac:dyDescent="0.25">
      <c r="B709" s="111" t="s">
        <v>2367</v>
      </c>
      <c r="C709" s="540"/>
      <c r="D709" s="112"/>
      <c r="E709" s="112"/>
      <c r="F709" s="112"/>
      <c r="G709" s="112"/>
      <c r="H709" s="861" t="s">
        <v>2368</v>
      </c>
      <c r="I709" s="861"/>
      <c r="J709" s="861" t="s">
        <v>3977</v>
      </c>
      <c r="K709" s="861"/>
      <c r="L709" s="861"/>
      <c r="M709" s="861"/>
      <c r="N709" s="879" t="s">
        <v>4938</v>
      </c>
      <c r="O709" s="874"/>
      <c r="P709" s="875"/>
      <c r="R709" s="878"/>
    </row>
    <row r="710" spans="1:18" s="1" customFormat="1" ht="13.9" customHeight="1" x14ac:dyDescent="0.2">
      <c r="B710" s="113" t="s">
        <v>2772</v>
      </c>
      <c r="C710" s="541"/>
      <c r="D710" s="114"/>
      <c r="E710" s="115"/>
      <c r="F710" s="115"/>
      <c r="G710" s="115"/>
      <c r="H710" s="862" t="s">
        <v>2371</v>
      </c>
      <c r="I710" s="862"/>
      <c r="J710" s="863" t="s">
        <v>2656</v>
      </c>
      <c r="K710" s="863"/>
      <c r="L710" s="863"/>
      <c r="M710" s="863"/>
      <c r="N710" s="873" t="s">
        <v>4936</v>
      </c>
      <c r="O710" s="814"/>
      <c r="P710" s="814"/>
      <c r="Q710" s="815"/>
    </row>
    <row r="711" spans="1:18" s="1" customFormat="1" ht="13.9" customHeight="1" x14ac:dyDescent="0.2">
      <c r="B711" s="116" t="s">
        <v>4927</v>
      </c>
      <c r="C711" s="542"/>
      <c r="D711" s="92"/>
      <c r="E711" s="92"/>
      <c r="F711" s="117"/>
      <c r="G711" s="93"/>
      <c r="H711" s="94"/>
      <c r="I711" s="94"/>
      <c r="J711" s="147"/>
      <c r="K711" s="147"/>
      <c r="L711" s="147"/>
      <c r="M711" s="147"/>
      <c r="N711" s="147"/>
      <c r="O711" s="147"/>
      <c r="P711" s="147"/>
      <c r="Q711" s="153"/>
    </row>
    <row r="713" spans="1:18" x14ac:dyDescent="0.2">
      <c r="H713" s="118"/>
    </row>
    <row r="714" spans="1:18" ht="15" x14ac:dyDescent="0.25">
      <c r="L714" s="137"/>
      <c r="M714" s="148"/>
    </row>
    <row r="715" spans="1:18" ht="15" x14ac:dyDescent="0.25">
      <c r="H715" s="119"/>
      <c r="I715" s="120"/>
      <c r="L715" s="148"/>
      <c r="M715" s="137"/>
    </row>
    <row r="716" spans="1:18" ht="15" x14ac:dyDescent="0.25">
      <c r="I716" s="120"/>
    </row>
    <row r="717" spans="1:18" ht="15" x14ac:dyDescent="0.25">
      <c r="I717" s="120"/>
      <c r="J717" s="149"/>
    </row>
    <row r="718" spans="1:18" ht="15" x14ac:dyDescent="0.25">
      <c r="I718" s="120"/>
    </row>
    <row r="719" spans="1:18" ht="15" x14ac:dyDescent="0.25">
      <c r="F719" s="121"/>
      <c r="I719" s="120"/>
    </row>
    <row r="720" spans="1:18" ht="15" x14ac:dyDescent="0.25">
      <c r="I720" s="120"/>
    </row>
    <row r="721" spans="9:9" ht="15" x14ac:dyDescent="0.25">
      <c r="I721" s="120"/>
    </row>
    <row r="722" spans="9:9" ht="15" x14ac:dyDescent="0.25">
      <c r="I722" s="120"/>
    </row>
    <row r="723" spans="9:9" ht="15" x14ac:dyDescent="0.25">
      <c r="I723" s="120"/>
    </row>
  </sheetData>
  <mergeCells count="9">
    <mergeCell ref="E686:H686"/>
    <mergeCell ref="G690:I690"/>
    <mergeCell ref="H705:I705"/>
    <mergeCell ref="J705:M705"/>
    <mergeCell ref="O705:Q705"/>
    <mergeCell ref="H709:I709"/>
    <mergeCell ref="J709:M709"/>
    <mergeCell ref="H710:I710"/>
    <mergeCell ref="J710:M710"/>
  </mergeCells>
  <phoneticPr fontId="1" type="noConversion"/>
  <printOptions horizontalCentered="1" verticalCentered="1"/>
  <pageMargins left="1.2598425196850394" right="0.70866141732283472" top="0.74803149606299213" bottom="0.74803149606299213" header="0.31496062992125984" footer="0.31496062992125984"/>
  <pageSetup scale="50" fitToWidth="0" fitToHeight="0" orientation="landscape" r:id="rId1"/>
  <headerFooter alignWithMargins="0">
    <oddHeader xml:space="preserve">&amp;R
</oddHeader>
    <oddFooter xml:space="preserve">&amp;C&amp;"Arial,Negrita"Pág. &amp;P - 63
</oddFooter>
  </headerFooter>
  <rowBreaks count="62" manualBreakCount="62">
    <brk id="18" max="19" man="1"/>
    <brk id="32" max="19" man="1"/>
    <brk id="46" max="19" man="1"/>
    <brk id="55" max="19" man="1"/>
    <brk id="60" max="19" man="1"/>
    <brk id="70" max="19" man="1"/>
    <brk id="81" max="19" man="1"/>
    <brk id="93" max="19" man="1"/>
    <brk id="103" max="19" man="1"/>
    <brk id="113" max="19" man="1"/>
    <brk id="123" max="19" man="1"/>
    <brk id="133" max="19" man="1"/>
    <brk id="142" max="19" man="1"/>
    <brk id="155" max="19" man="1"/>
    <brk id="168" max="19" man="1"/>
    <brk id="180" max="19" man="1"/>
    <brk id="191" max="19" man="1"/>
    <brk id="204" max="19" man="1"/>
    <brk id="219" max="19" man="1"/>
    <brk id="235" max="19" man="1"/>
    <brk id="249" max="19" man="1"/>
    <brk id="263" max="19" man="1"/>
    <brk id="279" max="19" man="1"/>
    <brk id="291" max="19" man="1"/>
    <brk id="306" max="19" man="1"/>
    <brk id="319" max="19" man="1"/>
    <brk id="329" max="19" man="1"/>
    <brk id="348" max="19" man="1"/>
    <brk id="363" max="19" man="1"/>
    <brk id="372" max="19" man="1"/>
    <brk id="387" max="19" man="1"/>
    <brk id="401" max="19" man="1"/>
    <brk id="410" max="19" man="1"/>
    <brk id="421" max="19" man="1"/>
    <brk id="435" max="19" man="1"/>
    <brk id="452" max="19" man="1"/>
    <brk id="461" max="19" man="1"/>
    <brk id="470" max="19" man="1"/>
    <brk id="478" max="19" man="1"/>
    <brk id="485" max="19" man="1"/>
    <brk id="493" max="19" man="1"/>
    <brk id="500" max="19" man="1"/>
    <brk id="508" max="19" man="1"/>
    <brk id="516" max="19" man="1"/>
    <brk id="524" max="19" man="1"/>
    <brk id="533" max="19" man="1"/>
    <brk id="541" max="19" man="1"/>
    <brk id="544" max="19" man="1"/>
    <brk id="553" max="19" man="1"/>
    <brk id="560" max="19" man="1"/>
    <brk id="568" max="19" man="1"/>
    <brk id="576" max="19" man="1"/>
    <brk id="583" max="19" man="1"/>
    <brk id="591" max="19" man="1"/>
    <brk id="598" max="19" man="1"/>
    <brk id="606" max="19" man="1"/>
    <brk id="614" max="19" man="1"/>
    <brk id="622" max="19" man="1"/>
    <brk id="632" max="19" man="1"/>
    <brk id="648" max="16383" man="1"/>
    <brk id="667" max="19" man="1"/>
    <brk id="688" max="19" man="1"/>
  </rowBreaks>
  <ignoredErrors>
    <ignoredError sqref="B356" twoDigitTextYear="1"/>
    <ignoredError sqref="G108:G112" numberStoredAsText="1"/>
    <ignoredError sqref="H698" formulaRange="1"/>
    <ignoredError sqref="N506:N524 N624:N626 N496:N501 N460:N465 N456:N457 N458:N459 N368:N455 L368:L379 N468:N486 N627:N685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8BB4C-EDAC-4E99-92F4-ACD8F250979D}">
  <dimension ref="B3:R992"/>
  <sheetViews>
    <sheetView topLeftCell="A28" zoomScaleNormal="100" workbookViewId="0">
      <selection activeCell="Q207" sqref="Q1:Q1048576"/>
    </sheetView>
  </sheetViews>
  <sheetFormatPr baseColWidth="10" defaultRowHeight="15" x14ac:dyDescent="0.25"/>
  <cols>
    <col min="1" max="1" width="1.5703125" customWidth="1"/>
    <col min="2" max="2" width="11.5703125" bestFit="1" customWidth="1"/>
    <col min="3" max="3" width="11.5703125" customWidth="1"/>
    <col min="5" max="5" width="15" customWidth="1"/>
    <col min="6" max="6" width="26.7109375" customWidth="1"/>
    <col min="7" max="7" width="17.7109375" customWidth="1"/>
    <col min="8" max="8" width="21.140625" customWidth="1"/>
    <col min="9" max="9" width="22.85546875" customWidth="1"/>
    <col min="10" max="10" width="23.140625" style="470" customWidth="1"/>
    <col min="11" max="11" width="11.5703125" style="470" hidden="1" customWidth="1"/>
    <col min="12" max="12" width="24" customWidth="1"/>
    <col min="13" max="13" width="11.5703125" bestFit="1" customWidth="1"/>
    <col min="14" max="14" width="12.28515625" customWidth="1"/>
    <col min="15" max="15" width="12.7109375" hidden="1" customWidth="1"/>
    <col min="16" max="16" width="21.28515625" customWidth="1"/>
    <col min="17" max="17" width="15.7109375" customWidth="1"/>
    <col min="18" max="18" width="8.140625" customWidth="1"/>
  </cols>
  <sheetData>
    <row r="3" spans="2:17" ht="20.25" x14ac:dyDescent="0.3">
      <c r="E3" s="714" t="s">
        <v>4583</v>
      </c>
      <c r="F3" s="12" t="s">
        <v>2657</v>
      </c>
      <c r="J3"/>
      <c r="K3"/>
    </row>
    <row r="4" spans="2:17" ht="21" x14ac:dyDescent="0.35">
      <c r="E4" s="761" t="s">
        <v>4916</v>
      </c>
      <c r="F4" s="715"/>
      <c r="J4"/>
      <c r="K4"/>
    </row>
    <row r="5" spans="2:17" ht="18.75" x14ac:dyDescent="0.3">
      <c r="F5" s="714" t="s">
        <v>4918</v>
      </c>
    </row>
    <row r="9" spans="2:17" ht="60" x14ac:dyDescent="0.25">
      <c r="B9" s="716" t="s">
        <v>2</v>
      </c>
      <c r="C9" s="716"/>
      <c r="D9" s="716" t="s">
        <v>2376</v>
      </c>
      <c r="E9" s="716" t="s">
        <v>4584</v>
      </c>
      <c r="F9" s="716" t="s">
        <v>5</v>
      </c>
      <c r="G9" s="716" t="s">
        <v>6</v>
      </c>
      <c r="H9" s="716" t="s">
        <v>2377</v>
      </c>
      <c r="I9" s="717" t="s">
        <v>8</v>
      </c>
      <c r="J9" s="718" t="s">
        <v>9</v>
      </c>
      <c r="K9" s="718" t="s">
        <v>10</v>
      </c>
      <c r="L9" s="716" t="s">
        <v>2875</v>
      </c>
      <c r="M9" s="716" t="s">
        <v>12</v>
      </c>
      <c r="N9" s="716" t="s">
        <v>2876</v>
      </c>
      <c r="O9" s="716" t="s">
        <v>14</v>
      </c>
      <c r="P9" s="716" t="s">
        <v>15</v>
      </c>
      <c r="Q9" s="716" t="s">
        <v>16</v>
      </c>
    </row>
    <row r="10" spans="2:17" ht="30" x14ac:dyDescent="0.25">
      <c r="B10" s="719">
        <v>44664</v>
      </c>
      <c r="C10" s="719">
        <v>44664</v>
      </c>
      <c r="D10" s="720" t="s">
        <v>4585</v>
      </c>
      <c r="E10" s="721" t="s">
        <v>4202</v>
      </c>
      <c r="F10" s="721" t="s">
        <v>4586</v>
      </c>
      <c r="G10" s="721" t="s">
        <v>4587</v>
      </c>
      <c r="H10" s="720" t="s">
        <v>4588</v>
      </c>
      <c r="I10" s="721" t="s">
        <v>4589</v>
      </c>
      <c r="J10" s="722">
        <v>197692</v>
      </c>
      <c r="K10" s="722">
        <v>54.944600000000001</v>
      </c>
      <c r="L10" s="723">
        <f t="shared" ref="L10:L73" si="0">+J10/K10</f>
        <v>3598.0241916403065</v>
      </c>
      <c r="M10" s="720">
        <v>60</v>
      </c>
      <c r="N10" s="724">
        <f t="shared" ref="N10:N73" si="1">+J10/M10</f>
        <v>3294.8666666666668</v>
      </c>
      <c r="O10" s="725">
        <f t="shared" ref="O10:O73" ca="1" si="2">IF(B10&lt;&gt;0,(ROUND((NOW()-B10)/30,0)),0)</f>
        <v>21</v>
      </c>
      <c r="P10" s="723">
        <f t="shared" ref="P10:P73" ca="1" si="3">IF(OR(J10=0,M10=0,O10=0),0,J10-(N10*O10))</f>
        <v>128499.8</v>
      </c>
      <c r="Q10" s="720" t="s">
        <v>4590</v>
      </c>
    </row>
    <row r="11" spans="2:17" ht="30" x14ac:dyDescent="0.25">
      <c r="B11" s="719">
        <v>44665</v>
      </c>
      <c r="C11" s="719">
        <v>44664</v>
      </c>
      <c r="D11" s="720" t="s">
        <v>4585</v>
      </c>
      <c r="E11" s="721" t="s">
        <v>4203</v>
      </c>
      <c r="F11" s="721" t="s">
        <v>4586</v>
      </c>
      <c r="G11" s="721" t="s">
        <v>4591</v>
      </c>
      <c r="H11" s="720" t="s">
        <v>4588</v>
      </c>
      <c r="I11" s="721" t="s">
        <v>4589</v>
      </c>
      <c r="J11" s="722">
        <v>197692</v>
      </c>
      <c r="K11" s="722">
        <v>54.944600000000001</v>
      </c>
      <c r="L11" s="723">
        <f t="shared" si="0"/>
        <v>3598.0241916403065</v>
      </c>
      <c r="M11" s="720">
        <v>60</v>
      </c>
      <c r="N11" s="724">
        <f t="shared" si="1"/>
        <v>3294.8666666666668</v>
      </c>
      <c r="O11" s="725">
        <f t="shared" ca="1" si="2"/>
        <v>21</v>
      </c>
      <c r="P11" s="723">
        <f t="shared" ca="1" si="3"/>
        <v>128499.8</v>
      </c>
      <c r="Q11" s="720" t="s">
        <v>4590</v>
      </c>
    </row>
    <row r="12" spans="2:17" ht="30" x14ac:dyDescent="0.25">
      <c r="B12" s="719">
        <v>44666</v>
      </c>
      <c r="C12" s="719">
        <v>44664</v>
      </c>
      <c r="D12" s="720" t="s">
        <v>4585</v>
      </c>
      <c r="E12" s="721" t="s">
        <v>4204</v>
      </c>
      <c r="F12" s="721" t="s">
        <v>4586</v>
      </c>
      <c r="G12" s="721" t="s">
        <v>4592</v>
      </c>
      <c r="H12" s="720" t="s">
        <v>4588</v>
      </c>
      <c r="I12" s="721" t="s">
        <v>4589</v>
      </c>
      <c r="J12" s="722">
        <v>197691.99</v>
      </c>
      <c r="K12" s="722">
        <v>54.944600000000001</v>
      </c>
      <c r="L12" s="723">
        <f t="shared" si="0"/>
        <v>3598.0240096387997</v>
      </c>
      <c r="M12" s="720">
        <v>60</v>
      </c>
      <c r="N12" s="724">
        <f t="shared" si="1"/>
        <v>3294.8664999999996</v>
      </c>
      <c r="O12" s="725">
        <f t="shared" ca="1" si="2"/>
        <v>21</v>
      </c>
      <c r="P12" s="723">
        <f t="shared" ca="1" si="3"/>
        <v>128499.7935</v>
      </c>
      <c r="Q12" s="720" t="s">
        <v>4590</v>
      </c>
    </row>
    <row r="13" spans="2:17" ht="45" x14ac:dyDescent="0.25">
      <c r="B13" s="719">
        <v>44739</v>
      </c>
      <c r="C13" s="719">
        <v>44739</v>
      </c>
      <c r="D13" s="720" t="s">
        <v>4593</v>
      </c>
      <c r="E13" s="720" t="s">
        <v>4594</v>
      </c>
      <c r="F13" s="721" t="s">
        <v>4595</v>
      </c>
      <c r="G13" s="720" t="s">
        <v>18</v>
      </c>
      <c r="H13" s="720" t="s">
        <v>4588</v>
      </c>
      <c r="I13" s="721" t="s">
        <v>4589</v>
      </c>
      <c r="J13" s="722">
        <v>2422581.7999999998</v>
      </c>
      <c r="K13" s="722">
        <v>54.497199999999999</v>
      </c>
      <c r="L13" s="723">
        <f t="shared" si="0"/>
        <v>44453.326042438872</v>
      </c>
      <c r="M13" s="720">
        <v>60</v>
      </c>
      <c r="N13" s="724">
        <f t="shared" si="1"/>
        <v>40376.363333333327</v>
      </c>
      <c r="O13" s="725">
        <f t="shared" ca="1" si="2"/>
        <v>19</v>
      </c>
      <c r="P13" s="723">
        <f t="shared" ca="1" si="3"/>
        <v>1655430.8966666665</v>
      </c>
      <c r="Q13" s="720" t="s">
        <v>4596</v>
      </c>
    </row>
    <row r="14" spans="2:17" ht="45" x14ac:dyDescent="0.25">
      <c r="B14" s="719">
        <v>44742</v>
      </c>
      <c r="C14" s="719">
        <v>44742</v>
      </c>
      <c r="D14" s="720" t="s">
        <v>4597</v>
      </c>
      <c r="E14" s="721" t="s">
        <v>4598</v>
      </c>
      <c r="F14" s="721" t="s">
        <v>4599</v>
      </c>
      <c r="G14" s="721" t="s">
        <v>4600</v>
      </c>
      <c r="H14" s="721" t="s">
        <v>4601</v>
      </c>
      <c r="I14" s="721" t="s">
        <v>4602</v>
      </c>
      <c r="J14" s="722">
        <v>118000</v>
      </c>
      <c r="K14" s="722">
        <v>54.440300000000001</v>
      </c>
      <c r="L14" s="723">
        <f t="shared" si="0"/>
        <v>2167.5119350922018</v>
      </c>
      <c r="M14" s="720">
        <v>60</v>
      </c>
      <c r="N14" s="724">
        <f t="shared" si="1"/>
        <v>1966.6666666666667</v>
      </c>
      <c r="O14" s="725">
        <f t="shared" ca="1" si="2"/>
        <v>19</v>
      </c>
      <c r="P14" s="723">
        <f t="shared" ca="1" si="3"/>
        <v>80633.333333333328</v>
      </c>
      <c r="Q14" s="721" t="s">
        <v>4603</v>
      </c>
    </row>
    <row r="15" spans="2:17" ht="45" x14ac:dyDescent="0.25">
      <c r="B15" s="719">
        <v>44742</v>
      </c>
      <c r="C15" s="719">
        <v>44742</v>
      </c>
      <c r="D15" s="720" t="s">
        <v>4597</v>
      </c>
      <c r="E15" s="721" t="s">
        <v>4604</v>
      </c>
      <c r="F15" s="721" t="s">
        <v>4599</v>
      </c>
      <c r="G15" s="721" t="s">
        <v>4605</v>
      </c>
      <c r="H15" s="721" t="s">
        <v>4601</v>
      </c>
      <c r="I15" s="721" t="s">
        <v>4602</v>
      </c>
      <c r="J15" s="722">
        <v>118000</v>
      </c>
      <c r="K15" s="722">
        <v>54.440300000000001</v>
      </c>
      <c r="L15" s="723">
        <f t="shared" si="0"/>
        <v>2167.5119350922018</v>
      </c>
      <c r="M15" s="720">
        <v>60</v>
      </c>
      <c r="N15" s="724">
        <f t="shared" si="1"/>
        <v>1966.6666666666667</v>
      </c>
      <c r="O15" s="725">
        <f t="shared" ca="1" si="2"/>
        <v>19</v>
      </c>
      <c r="P15" s="723">
        <f t="shared" ca="1" si="3"/>
        <v>80633.333333333328</v>
      </c>
      <c r="Q15" s="721" t="s">
        <v>4603</v>
      </c>
    </row>
    <row r="16" spans="2:17" ht="45" x14ac:dyDescent="0.25">
      <c r="B16" s="719">
        <v>44742</v>
      </c>
      <c r="C16" s="719">
        <v>44742</v>
      </c>
      <c r="D16" s="720" t="s">
        <v>4597</v>
      </c>
      <c r="E16" s="721" t="s">
        <v>4606</v>
      </c>
      <c r="F16" s="721" t="s">
        <v>4599</v>
      </c>
      <c r="G16" s="721" t="s">
        <v>4607</v>
      </c>
      <c r="H16" s="721" t="s">
        <v>4601</v>
      </c>
      <c r="I16" s="721" t="s">
        <v>4602</v>
      </c>
      <c r="J16" s="722">
        <v>118000</v>
      </c>
      <c r="K16" s="722">
        <v>54.440300000000001</v>
      </c>
      <c r="L16" s="723">
        <f t="shared" si="0"/>
        <v>2167.5119350922018</v>
      </c>
      <c r="M16" s="720">
        <v>60</v>
      </c>
      <c r="N16" s="724">
        <f t="shared" si="1"/>
        <v>1966.6666666666667</v>
      </c>
      <c r="O16" s="725">
        <f t="shared" ca="1" si="2"/>
        <v>19</v>
      </c>
      <c r="P16" s="723">
        <f t="shared" ca="1" si="3"/>
        <v>80633.333333333328</v>
      </c>
      <c r="Q16" s="721" t="s">
        <v>4603</v>
      </c>
    </row>
    <row r="17" spans="2:17" ht="30" x14ac:dyDescent="0.25">
      <c r="B17" s="719">
        <v>44797</v>
      </c>
      <c r="C17" s="719">
        <v>44797</v>
      </c>
      <c r="D17" s="720" t="s">
        <v>4608</v>
      </c>
      <c r="E17" s="720" t="s">
        <v>4609</v>
      </c>
      <c r="F17" s="721" t="s">
        <v>4610</v>
      </c>
      <c r="G17" s="720" t="s">
        <v>18</v>
      </c>
      <c r="H17" s="721" t="s">
        <v>4611</v>
      </c>
      <c r="I17" s="721" t="s">
        <v>4611</v>
      </c>
      <c r="J17" s="722">
        <v>5102.0129999999999</v>
      </c>
      <c r="K17" s="722">
        <v>53.31</v>
      </c>
      <c r="L17" s="723">
        <f t="shared" si="0"/>
        <v>95.704614518851997</v>
      </c>
      <c r="M17" s="720">
        <v>48</v>
      </c>
      <c r="N17" s="724">
        <f t="shared" si="1"/>
        <v>106.2919375</v>
      </c>
      <c r="O17" s="725">
        <f t="shared" ca="1" si="2"/>
        <v>17</v>
      </c>
      <c r="P17" s="723">
        <f t="shared" ca="1" si="3"/>
        <v>3295.0500625</v>
      </c>
      <c r="Q17" s="720" t="s">
        <v>4612</v>
      </c>
    </row>
    <row r="18" spans="2:17" ht="30" x14ac:dyDescent="0.25">
      <c r="B18" s="719">
        <v>44797</v>
      </c>
      <c r="C18" s="719">
        <v>44797</v>
      </c>
      <c r="D18" s="720" t="s">
        <v>4608</v>
      </c>
      <c r="E18" s="720" t="s">
        <v>4613</v>
      </c>
      <c r="F18" s="721" t="s">
        <v>4610</v>
      </c>
      <c r="G18" s="720" t="s">
        <v>18</v>
      </c>
      <c r="H18" s="721" t="s">
        <v>4611</v>
      </c>
      <c r="I18" s="721" t="s">
        <v>4611</v>
      </c>
      <c r="J18" s="722">
        <v>5102.0129999999999</v>
      </c>
      <c r="K18" s="722">
        <v>53.31</v>
      </c>
      <c r="L18" s="723">
        <f t="shared" si="0"/>
        <v>95.704614518851997</v>
      </c>
      <c r="M18" s="720">
        <v>48</v>
      </c>
      <c r="N18" s="724">
        <f t="shared" si="1"/>
        <v>106.2919375</v>
      </c>
      <c r="O18" s="725">
        <f t="shared" ca="1" si="2"/>
        <v>17</v>
      </c>
      <c r="P18" s="723">
        <f t="shared" ca="1" si="3"/>
        <v>3295.0500625</v>
      </c>
      <c r="Q18" s="720" t="s">
        <v>4612</v>
      </c>
    </row>
    <row r="19" spans="2:17" ht="30" x14ac:dyDescent="0.25">
      <c r="B19" s="719">
        <v>44797</v>
      </c>
      <c r="C19" s="719">
        <v>44797</v>
      </c>
      <c r="D19" s="720" t="s">
        <v>4608</v>
      </c>
      <c r="E19" s="720" t="s">
        <v>4614</v>
      </c>
      <c r="F19" s="721" t="s">
        <v>4610</v>
      </c>
      <c r="G19" s="720" t="s">
        <v>18</v>
      </c>
      <c r="H19" s="721" t="s">
        <v>4611</v>
      </c>
      <c r="I19" s="721" t="s">
        <v>4611</v>
      </c>
      <c r="J19" s="722">
        <v>5102.0129999999999</v>
      </c>
      <c r="K19" s="722">
        <v>53.31</v>
      </c>
      <c r="L19" s="723">
        <f t="shared" si="0"/>
        <v>95.704614518851997</v>
      </c>
      <c r="M19" s="720">
        <v>48</v>
      </c>
      <c r="N19" s="724">
        <f t="shared" si="1"/>
        <v>106.2919375</v>
      </c>
      <c r="O19" s="725">
        <f t="shared" ca="1" si="2"/>
        <v>17</v>
      </c>
      <c r="P19" s="723">
        <f t="shared" ca="1" si="3"/>
        <v>3295.0500625</v>
      </c>
      <c r="Q19" s="720" t="s">
        <v>4612</v>
      </c>
    </row>
    <row r="20" spans="2:17" ht="30" x14ac:dyDescent="0.25">
      <c r="B20" s="719">
        <v>44797</v>
      </c>
      <c r="C20" s="719">
        <v>44797</v>
      </c>
      <c r="D20" s="720" t="s">
        <v>4608</v>
      </c>
      <c r="E20" s="720" t="s">
        <v>4615</v>
      </c>
      <c r="F20" s="721" t="s">
        <v>4610</v>
      </c>
      <c r="G20" s="720" t="s">
        <v>18</v>
      </c>
      <c r="H20" s="721" t="s">
        <v>4611</v>
      </c>
      <c r="I20" s="721" t="s">
        <v>4611</v>
      </c>
      <c r="J20" s="722">
        <v>5102.0129999999999</v>
      </c>
      <c r="K20" s="722">
        <v>53.31</v>
      </c>
      <c r="L20" s="723">
        <f t="shared" si="0"/>
        <v>95.704614518851997</v>
      </c>
      <c r="M20" s="720">
        <v>48</v>
      </c>
      <c r="N20" s="724">
        <f t="shared" si="1"/>
        <v>106.2919375</v>
      </c>
      <c r="O20" s="725">
        <f t="shared" ca="1" si="2"/>
        <v>17</v>
      </c>
      <c r="P20" s="723">
        <f t="shared" ca="1" si="3"/>
        <v>3295.0500625</v>
      </c>
      <c r="Q20" s="720" t="s">
        <v>4612</v>
      </c>
    </row>
    <row r="21" spans="2:17" ht="30" x14ac:dyDescent="0.25">
      <c r="B21" s="719">
        <v>44797</v>
      </c>
      <c r="C21" s="719">
        <v>44797</v>
      </c>
      <c r="D21" s="720" t="s">
        <v>4608</v>
      </c>
      <c r="E21" s="720" t="s">
        <v>4616</v>
      </c>
      <c r="F21" s="721" t="s">
        <v>4610</v>
      </c>
      <c r="G21" s="720" t="s">
        <v>18</v>
      </c>
      <c r="H21" s="721" t="s">
        <v>4611</v>
      </c>
      <c r="I21" s="721" t="s">
        <v>4611</v>
      </c>
      <c r="J21" s="722">
        <v>5102.0129999999999</v>
      </c>
      <c r="K21" s="722">
        <v>53.31</v>
      </c>
      <c r="L21" s="723">
        <f t="shared" si="0"/>
        <v>95.704614518851997</v>
      </c>
      <c r="M21" s="720">
        <v>48</v>
      </c>
      <c r="N21" s="724">
        <f t="shared" si="1"/>
        <v>106.2919375</v>
      </c>
      <c r="O21" s="725">
        <f t="shared" ca="1" si="2"/>
        <v>17</v>
      </c>
      <c r="P21" s="723">
        <f t="shared" ca="1" si="3"/>
        <v>3295.0500625</v>
      </c>
      <c r="Q21" s="720" t="s">
        <v>4612</v>
      </c>
    </row>
    <row r="22" spans="2:17" ht="30" x14ac:dyDescent="0.25">
      <c r="B22" s="719">
        <v>44797</v>
      </c>
      <c r="C22" s="719">
        <v>44797</v>
      </c>
      <c r="D22" s="720" t="s">
        <v>4608</v>
      </c>
      <c r="E22" s="720" t="s">
        <v>4617</v>
      </c>
      <c r="F22" s="721" t="s">
        <v>4610</v>
      </c>
      <c r="G22" s="720" t="s">
        <v>18</v>
      </c>
      <c r="H22" s="721" t="s">
        <v>4611</v>
      </c>
      <c r="I22" s="721" t="s">
        <v>4611</v>
      </c>
      <c r="J22" s="722">
        <v>5102.0129999999999</v>
      </c>
      <c r="K22" s="722">
        <v>53.31</v>
      </c>
      <c r="L22" s="723">
        <f t="shared" si="0"/>
        <v>95.704614518851997</v>
      </c>
      <c r="M22" s="720">
        <v>48</v>
      </c>
      <c r="N22" s="724">
        <f t="shared" si="1"/>
        <v>106.2919375</v>
      </c>
      <c r="O22" s="725">
        <f t="shared" ca="1" si="2"/>
        <v>17</v>
      </c>
      <c r="P22" s="723">
        <f t="shared" ca="1" si="3"/>
        <v>3295.0500625</v>
      </c>
      <c r="Q22" s="720" t="s">
        <v>4612</v>
      </c>
    </row>
    <row r="23" spans="2:17" ht="30" x14ac:dyDescent="0.25">
      <c r="B23" s="719">
        <v>44797</v>
      </c>
      <c r="C23" s="719">
        <v>44797</v>
      </c>
      <c r="D23" s="720" t="s">
        <v>4608</v>
      </c>
      <c r="E23" s="720" t="s">
        <v>4618</v>
      </c>
      <c r="F23" s="721" t="s">
        <v>4610</v>
      </c>
      <c r="G23" s="720" t="s">
        <v>18</v>
      </c>
      <c r="H23" s="721" t="s">
        <v>4611</v>
      </c>
      <c r="I23" s="721" t="s">
        <v>4611</v>
      </c>
      <c r="J23" s="722">
        <v>5102.0129999999999</v>
      </c>
      <c r="K23" s="722">
        <v>53.31</v>
      </c>
      <c r="L23" s="723">
        <f t="shared" si="0"/>
        <v>95.704614518851997</v>
      </c>
      <c r="M23" s="720">
        <v>48</v>
      </c>
      <c r="N23" s="724">
        <f t="shared" si="1"/>
        <v>106.2919375</v>
      </c>
      <c r="O23" s="725">
        <f t="shared" ca="1" si="2"/>
        <v>17</v>
      </c>
      <c r="P23" s="723">
        <f t="shared" ca="1" si="3"/>
        <v>3295.0500625</v>
      </c>
      <c r="Q23" s="720" t="s">
        <v>4612</v>
      </c>
    </row>
    <row r="24" spans="2:17" ht="30" x14ac:dyDescent="0.25">
      <c r="B24" s="719">
        <v>44797</v>
      </c>
      <c r="C24" s="719">
        <v>44797</v>
      </c>
      <c r="D24" s="720" t="s">
        <v>4608</v>
      </c>
      <c r="E24" s="720" t="s">
        <v>4619</v>
      </c>
      <c r="F24" s="721" t="s">
        <v>4610</v>
      </c>
      <c r="G24" s="720" t="s">
        <v>18</v>
      </c>
      <c r="H24" s="721" t="s">
        <v>4611</v>
      </c>
      <c r="I24" s="721" t="s">
        <v>4611</v>
      </c>
      <c r="J24" s="722">
        <v>5102.0129999999999</v>
      </c>
      <c r="K24" s="722">
        <v>53.31</v>
      </c>
      <c r="L24" s="723">
        <f t="shared" si="0"/>
        <v>95.704614518851997</v>
      </c>
      <c r="M24" s="720">
        <v>48</v>
      </c>
      <c r="N24" s="724">
        <f t="shared" si="1"/>
        <v>106.2919375</v>
      </c>
      <c r="O24" s="725">
        <f t="shared" ca="1" si="2"/>
        <v>17</v>
      </c>
      <c r="P24" s="723">
        <f t="shared" ca="1" si="3"/>
        <v>3295.0500625</v>
      </c>
      <c r="Q24" s="720" t="s">
        <v>4612</v>
      </c>
    </row>
    <row r="25" spans="2:17" ht="30" x14ac:dyDescent="0.25">
      <c r="B25" s="719">
        <v>44797</v>
      </c>
      <c r="C25" s="719">
        <v>44797</v>
      </c>
      <c r="D25" s="720" t="s">
        <v>4608</v>
      </c>
      <c r="E25" s="720" t="s">
        <v>4620</v>
      </c>
      <c r="F25" s="721" t="s">
        <v>4610</v>
      </c>
      <c r="G25" s="720" t="s">
        <v>18</v>
      </c>
      <c r="H25" s="721" t="s">
        <v>4611</v>
      </c>
      <c r="I25" s="721" t="s">
        <v>4611</v>
      </c>
      <c r="J25" s="722">
        <v>5102.0129999999999</v>
      </c>
      <c r="K25" s="722">
        <v>53.31</v>
      </c>
      <c r="L25" s="723">
        <f t="shared" si="0"/>
        <v>95.704614518851997</v>
      </c>
      <c r="M25" s="720">
        <v>48</v>
      </c>
      <c r="N25" s="724">
        <f t="shared" si="1"/>
        <v>106.2919375</v>
      </c>
      <c r="O25" s="725">
        <f t="shared" ca="1" si="2"/>
        <v>17</v>
      </c>
      <c r="P25" s="723">
        <f t="shared" ca="1" si="3"/>
        <v>3295.0500625</v>
      </c>
      <c r="Q25" s="720" t="s">
        <v>4612</v>
      </c>
    </row>
    <row r="26" spans="2:17" ht="30" x14ac:dyDescent="0.25">
      <c r="B26" s="719">
        <v>44797</v>
      </c>
      <c r="C26" s="719">
        <v>44797</v>
      </c>
      <c r="D26" s="720" t="s">
        <v>4608</v>
      </c>
      <c r="E26" s="720" t="s">
        <v>4621</v>
      </c>
      <c r="F26" s="721" t="s">
        <v>4610</v>
      </c>
      <c r="G26" s="720" t="s">
        <v>18</v>
      </c>
      <c r="H26" s="721" t="s">
        <v>4611</v>
      </c>
      <c r="I26" s="721" t="s">
        <v>4611</v>
      </c>
      <c r="J26" s="722">
        <v>5102.0129999999999</v>
      </c>
      <c r="K26" s="722">
        <v>53.31</v>
      </c>
      <c r="L26" s="723">
        <f t="shared" si="0"/>
        <v>95.704614518851997</v>
      </c>
      <c r="M26" s="720">
        <v>48</v>
      </c>
      <c r="N26" s="724">
        <f t="shared" si="1"/>
        <v>106.2919375</v>
      </c>
      <c r="O26" s="725">
        <f t="shared" ca="1" si="2"/>
        <v>17</v>
      </c>
      <c r="P26" s="723">
        <f t="shared" ca="1" si="3"/>
        <v>3295.0500625</v>
      </c>
      <c r="Q26" s="720" t="s">
        <v>4612</v>
      </c>
    </row>
    <row r="27" spans="2:17" ht="30" x14ac:dyDescent="0.25">
      <c r="B27" s="719">
        <v>44797</v>
      </c>
      <c r="C27" s="719">
        <v>44797</v>
      </c>
      <c r="D27" s="720" t="s">
        <v>4608</v>
      </c>
      <c r="E27" s="720" t="s">
        <v>4622</v>
      </c>
      <c r="F27" s="721" t="s">
        <v>4623</v>
      </c>
      <c r="G27" s="720" t="s">
        <v>18</v>
      </c>
      <c r="H27" s="721" t="s">
        <v>4611</v>
      </c>
      <c r="I27" s="721" t="s">
        <v>4611</v>
      </c>
      <c r="J27" s="722">
        <v>5102.0129999999999</v>
      </c>
      <c r="K27" s="722">
        <v>53.31</v>
      </c>
      <c r="L27" s="723">
        <f t="shared" si="0"/>
        <v>95.704614518851997</v>
      </c>
      <c r="M27" s="720">
        <v>48</v>
      </c>
      <c r="N27" s="724">
        <f t="shared" si="1"/>
        <v>106.2919375</v>
      </c>
      <c r="O27" s="725">
        <f t="shared" ca="1" si="2"/>
        <v>17</v>
      </c>
      <c r="P27" s="723">
        <f t="shared" ca="1" si="3"/>
        <v>3295.0500625</v>
      </c>
      <c r="Q27" s="720" t="s">
        <v>4612</v>
      </c>
    </row>
    <row r="28" spans="2:17" ht="30" x14ac:dyDescent="0.25">
      <c r="B28" s="719">
        <v>44797</v>
      </c>
      <c r="C28" s="719">
        <v>44797</v>
      </c>
      <c r="D28" s="720" t="s">
        <v>4608</v>
      </c>
      <c r="E28" s="720" t="s">
        <v>4624</v>
      </c>
      <c r="F28" s="721" t="s">
        <v>4623</v>
      </c>
      <c r="G28" s="720" t="s">
        <v>18</v>
      </c>
      <c r="H28" s="721" t="s">
        <v>4611</v>
      </c>
      <c r="I28" s="721" t="s">
        <v>4611</v>
      </c>
      <c r="J28" s="722">
        <v>5102.0129999999999</v>
      </c>
      <c r="K28" s="722">
        <v>53.31</v>
      </c>
      <c r="L28" s="723">
        <f t="shared" si="0"/>
        <v>95.704614518851997</v>
      </c>
      <c r="M28" s="720">
        <v>48</v>
      </c>
      <c r="N28" s="724">
        <f t="shared" si="1"/>
        <v>106.2919375</v>
      </c>
      <c r="O28" s="725">
        <f t="shared" ca="1" si="2"/>
        <v>17</v>
      </c>
      <c r="P28" s="723">
        <f t="shared" ca="1" si="3"/>
        <v>3295.0500625</v>
      </c>
      <c r="Q28" s="720" t="s">
        <v>4612</v>
      </c>
    </row>
    <row r="29" spans="2:17" ht="30" x14ac:dyDescent="0.25">
      <c r="B29" s="719">
        <v>44797</v>
      </c>
      <c r="C29" s="719">
        <v>44797</v>
      </c>
      <c r="D29" s="720" t="s">
        <v>4608</v>
      </c>
      <c r="E29" s="720" t="s">
        <v>4625</v>
      </c>
      <c r="F29" s="721" t="s">
        <v>4623</v>
      </c>
      <c r="G29" s="720" t="s">
        <v>18</v>
      </c>
      <c r="H29" s="721" t="s">
        <v>4611</v>
      </c>
      <c r="I29" s="721" t="s">
        <v>4611</v>
      </c>
      <c r="J29" s="722">
        <v>5102.0129999999999</v>
      </c>
      <c r="K29" s="722">
        <v>53.31</v>
      </c>
      <c r="L29" s="723">
        <f t="shared" si="0"/>
        <v>95.704614518851997</v>
      </c>
      <c r="M29" s="720">
        <v>48</v>
      </c>
      <c r="N29" s="724">
        <f t="shared" si="1"/>
        <v>106.2919375</v>
      </c>
      <c r="O29" s="725">
        <f t="shared" ca="1" si="2"/>
        <v>17</v>
      </c>
      <c r="P29" s="723">
        <f t="shared" ca="1" si="3"/>
        <v>3295.0500625</v>
      </c>
      <c r="Q29" s="720" t="s">
        <v>4612</v>
      </c>
    </row>
    <row r="30" spans="2:17" ht="30" x14ac:dyDescent="0.25">
      <c r="B30" s="719">
        <v>44797</v>
      </c>
      <c r="C30" s="719">
        <v>44797</v>
      </c>
      <c r="D30" s="720" t="s">
        <v>4608</v>
      </c>
      <c r="E30" s="720" t="s">
        <v>4626</v>
      </c>
      <c r="F30" s="721" t="s">
        <v>4623</v>
      </c>
      <c r="G30" s="720" t="s">
        <v>18</v>
      </c>
      <c r="H30" s="721" t="s">
        <v>4611</v>
      </c>
      <c r="I30" s="721" t="s">
        <v>4611</v>
      </c>
      <c r="J30" s="722">
        <v>5102.0129999999999</v>
      </c>
      <c r="K30" s="722">
        <v>53.31</v>
      </c>
      <c r="L30" s="723">
        <f t="shared" si="0"/>
        <v>95.704614518851997</v>
      </c>
      <c r="M30" s="720">
        <v>48</v>
      </c>
      <c r="N30" s="724">
        <f t="shared" si="1"/>
        <v>106.2919375</v>
      </c>
      <c r="O30" s="725">
        <f t="shared" ca="1" si="2"/>
        <v>17</v>
      </c>
      <c r="P30" s="723">
        <f t="shared" ca="1" si="3"/>
        <v>3295.0500625</v>
      </c>
      <c r="Q30" s="720" t="s">
        <v>4612</v>
      </c>
    </row>
    <row r="31" spans="2:17" ht="30" x14ac:dyDescent="0.25">
      <c r="B31" s="719">
        <v>44797</v>
      </c>
      <c r="C31" s="719">
        <v>44797</v>
      </c>
      <c r="D31" s="720" t="s">
        <v>4608</v>
      </c>
      <c r="E31" s="720" t="s">
        <v>4627</v>
      </c>
      <c r="F31" s="721" t="s">
        <v>4623</v>
      </c>
      <c r="G31" s="720" t="s">
        <v>18</v>
      </c>
      <c r="H31" s="721" t="s">
        <v>4611</v>
      </c>
      <c r="I31" s="721" t="s">
        <v>4611</v>
      </c>
      <c r="J31" s="722">
        <v>5102.0129999999999</v>
      </c>
      <c r="K31" s="722">
        <v>53.31</v>
      </c>
      <c r="L31" s="723">
        <f t="shared" si="0"/>
        <v>95.704614518851997</v>
      </c>
      <c r="M31" s="720">
        <v>48</v>
      </c>
      <c r="N31" s="724">
        <f t="shared" si="1"/>
        <v>106.2919375</v>
      </c>
      <c r="O31" s="725">
        <f t="shared" ca="1" si="2"/>
        <v>17</v>
      </c>
      <c r="P31" s="723">
        <f t="shared" ca="1" si="3"/>
        <v>3295.0500625</v>
      </c>
      <c r="Q31" s="720" t="s">
        <v>4612</v>
      </c>
    </row>
    <row r="32" spans="2:17" ht="30" x14ac:dyDescent="0.25">
      <c r="B32" s="719">
        <v>44797</v>
      </c>
      <c r="C32" s="719">
        <v>44797</v>
      </c>
      <c r="D32" s="720" t="s">
        <v>4608</v>
      </c>
      <c r="E32" s="720" t="s">
        <v>4628</v>
      </c>
      <c r="F32" s="721" t="s">
        <v>4623</v>
      </c>
      <c r="G32" s="720" t="s">
        <v>18</v>
      </c>
      <c r="H32" s="721" t="s">
        <v>4611</v>
      </c>
      <c r="I32" s="721" t="s">
        <v>4611</v>
      </c>
      <c r="J32" s="722">
        <v>5102.0129999999999</v>
      </c>
      <c r="K32" s="722">
        <v>53.31</v>
      </c>
      <c r="L32" s="723">
        <f t="shared" si="0"/>
        <v>95.704614518851997</v>
      </c>
      <c r="M32" s="720">
        <v>48</v>
      </c>
      <c r="N32" s="724">
        <f t="shared" si="1"/>
        <v>106.2919375</v>
      </c>
      <c r="O32" s="725">
        <f t="shared" ca="1" si="2"/>
        <v>17</v>
      </c>
      <c r="P32" s="723">
        <f t="shared" ca="1" si="3"/>
        <v>3295.0500625</v>
      </c>
      <c r="Q32" s="720" t="s">
        <v>4612</v>
      </c>
    </row>
    <row r="33" spans="2:17" ht="30" x14ac:dyDescent="0.25">
      <c r="B33" s="719">
        <v>44797</v>
      </c>
      <c r="C33" s="719">
        <v>44797</v>
      </c>
      <c r="D33" s="720" t="s">
        <v>4608</v>
      </c>
      <c r="E33" s="720" t="s">
        <v>4629</v>
      </c>
      <c r="F33" s="721" t="s">
        <v>4623</v>
      </c>
      <c r="G33" s="720" t="s">
        <v>18</v>
      </c>
      <c r="H33" s="721" t="s">
        <v>4611</v>
      </c>
      <c r="I33" s="721" t="s">
        <v>4611</v>
      </c>
      <c r="J33" s="722">
        <v>5102.0129999999999</v>
      </c>
      <c r="K33" s="722">
        <v>53.31</v>
      </c>
      <c r="L33" s="723">
        <f t="shared" si="0"/>
        <v>95.704614518851997</v>
      </c>
      <c r="M33" s="720">
        <v>48</v>
      </c>
      <c r="N33" s="724">
        <f t="shared" si="1"/>
        <v>106.2919375</v>
      </c>
      <c r="O33" s="725">
        <f t="shared" ca="1" si="2"/>
        <v>17</v>
      </c>
      <c r="P33" s="723">
        <f t="shared" ca="1" si="3"/>
        <v>3295.0500625</v>
      </c>
      <c r="Q33" s="720" t="s">
        <v>4612</v>
      </c>
    </row>
    <row r="34" spans="2:17" ht="30" x14ac:dyDescent="0.25">
      <c r="B34" s="719">
        <v>44797</v>
      </c>
      <c r="C34" s="719">
        <v>44797</v>
      </c>
      <c r="D34" s="720" t="s">
        <v>4608</v>
      </c>
      <c r="E34" s="720" t="s">
        <v>4630</v>
      </c>
      <c r="F34" s="721" t="s">
        <v>4623</v>
      </c>
      <c r="G34" s="720" t="s">
        <v>18</v>
      </c>
      <c r="H34" s="721" t="s">
        <v>4611</v>
      </c>
      <c r="I34" s="721" t="s">
        <v>4611</v>
      </c>
      <c r="J34" s="722">
        <v>5102.0129999999999</v>
      </c>
      <c r="K34" s="722">
        <v>53.31</v>
      </c>
      <c r="L34" s="723">
        <f t="shared" si="0"/>
        <v>95.704614518851997</v>
      </c>
      <c r="M34" s="720">
        <v>48</v>
      </c>
      <c r="N34" s="724">
        <f t="shared" si="1"/>
        <v>106.2919375</v>
      </c>
      <c r="O34" s="725">
        <f t="shared" ca="1" si="2"/>
        <v>17</v>
      </c>
      <c r="P34" s="723">
        <f t="shared" ca="1" si="3"/>
        <v>3295.0500625</v>
      </c>
      <c r="Q34" s="720" t="s">
        <v>4612</v>
      </c>
    </row>
    <row r="35" spans="2:17" ht="30" x14ac:dyDescent="0.25">
      <c r="B35" s="719">
        <v>44797</v>
      </c>
      <c r="C35" s="719">
        <v>44797</v>
      </c>
      <c r="D35" s="720" t="s">
        <v>4608</v>
      </c>
      <c r="E35" s="720" t="s">
        <v>4631</v>
      </c>
      <c r="F35" s="721" t="s">
        <v>4623</v>
      </c>
      <c r="G35" s="720" t="s">
        <v>18</v>
      </c>
      <c r="H35" s="721" t="s">
        <v>4611</v>
      </c>
      <c r="I35" s="721" t="s">
        <v>4611</v>
      </c>
      <c r="J35" s="722">
        <v>5102.0129999999999</v>
      </c>
      <c r="K35" s="722">
        <v>53.31</v>
      </c>
      <c r="L35" s="723">
        <f t="shared" si="0"/>
        <v>95.704614518851997</v>
      </c>
      <c r="M35" s="720">
        <v>48</v>
      </c>
      <c r="N35" s="724">
        <f t="shared" si="1"/>
        <v>106.2919375</v>
      </c>
      <c r="O35" s="725">
        <f t="shared" ca="1" si="2"/>
        <v>17</v>
      </c>
      <c r="P35" s="723">
        <f t="shared" ca="1" si="3"/>
        <v>3295.0500625</v>
      </c>
      <c r="Q35" s="720" t="s">
        <v>4612</v>
      </c>
    </row>
    <row r="36" spans="2:17" ht="30" x14ac:dyDescent="0.25">
      <c r="B36" s="719">
        <v>44797</v>
      </c>
      <c r="C36" s="719">
        <v>44797</v>
      </c>
      <c r="D36" s="720" t="s">
        <v>4608</v>
      </c>
      <c r="E36" s="720" t="s">
        <v>4632</v>
      </c>
      <c r="F36" s="721" t="s">
        <v>4623</v>
      </c>
      <c r="G36" s="720" t="s">
        <v>18</v>
      </c>
      <c r="H36" s="721" t="s">
        <v>4611</v>
      </c>
      <c r="I36" s="721" t="s">
        <v>4611</v>
      </c>
      <c r="J36" s="722">
        <v>5102.0129999999999</v>
      </c>
      <c r="K36" s="722">
        <v>53.31</v>
      </c>
      <c r="L36" s="723">
        <f t="shared" si="0"/>
        <v>95.704614518851997</v>
      </c>
      <c r="M36" s="720">
        <v>48</v>
      </c>
      <c r="N36" s="724">
        <f t="shared" si="1"/>
        <v>106.2919375</v>
      </c>
      <c r="O36" s="725">
        <f t="shared" ca="1" si="2"/>
        <v>17</v>
      </c>
      <c r="P36" s="723">
        <f t="shared" ca="1" si="3"/>
        <v>3295.0500625</v>
      </c>
      <c r="Q36" s="720" t="s">
        <v>4612</v>
      </c>
    </row>
    <row r="37" spans="2:17" ht="30" x14ac:dyDescent="0.25">
      <c r="B37" s="719">
        <v>44797</v>
      </c>
      <c r="C37" s="719">
        <v>44797</v>
      </c>
      <c r="D37" s="720" t="s">
        <v>4608</v>
      </c>
      <c r="E37" s="720" t="s">
        <v>4633</v>
      </c>
      <c r="F37" s="721" t="s">
        <v>4634</v>
      </c>
      <c r="G37" s="720" t="s">
        <v>18</v>
      </c>
      <c r="H37" s="721" t="s">
        <v>4611</v>
      </c>
      <c r="I37" s="721" t="s">
        <v>4611</v>
      </c>
      <c r="J37" s="722">
        <v>5102.0129999999999</v>
      </c>
      <c r="K37" s="722">
        <v>53.31</v>
      </c>
      <c r="L37" s="723">
        <f t="shared" si="0"/>
        <v>95.704614518851997</v>
      </c>
      <c r="M37" s="720">
        <v>48</v>
      </c>
      <c r="N37" s="724">
        <f t="shared" si="1"/>
        <v>106.2919375</v>
      </c>
      <c r="O37" s="725">
        <f t="shared" ca="1" si="2"/>
        <v>17</v>
      </c>
      <c r="P37" s="723">
        <f t="shared" ca="1" si="3"/>
        <v>3295.0500625</v>
      </c>
      <c r="Q37" s="720" t="s">
        <v>4612</v>
      </c>
    </row>
    <row r="38" spans="2:17" ht="30" x14ac:dyDescent="0.25">
      <c r="B38" s="719">
        <v>44797</v>
      </c>
      <c r="C38" s="719">
        <v>44797</v>
      </c>
      <c r="D38" s="720" t="s">
        <v>4608</v>
      </c>
      <c r="E38" s="720" t="s">
        <v>4635</v>
      </c>
      <c r="F38" s="721" t="s">
        <v>4634</v>
      </c>
      <c r="G38" s="720" t="s">
        <v>18</v>
      </c>
      <c r="H38" s="721" t="s">
        <v>4611</v>
      </c>
      <c r="I38" s="721" t="s">
        <v>4611</v>
      </c>
      <c r="J38" s="722">
        <v>5102.0129999999999</v>
      </c>
      <c r="K38" s="722">
        <v>53.31</v>
      </c>
      <c r="L38" s="723">
        <f t="shared" si="0"/>
        <v>95.704614518851997</v>
      </c>
      <c r="M38" s="720">
        <v>48</v>
      </c>
      <c r="N38" s="724">
        <f t="shared" si="1"/>
        <v>106.2919375</v>
      </c>
      <c r="O38" s="725">
        <f t="shared" ca="1" si="2"/>
        <v>17</v>
      </c>
      <c r="P38" s="723">
        <f t="shared" ca="1" si="3"/>
        <v>3295.0500625</v>
      </c>
      <c r="Q38" s="720" t="s">
        <v>4612</v>
      </c>
    </row>
    <row r="39" spans="2:17" ht="30" x14ac:dyDescent="0.25">
      <c r="B39" s="719">
        <v>44797</v>
      </c>
      <c r="C39" s="719">
        <v>44797</v>
      </c>
      <c r="D39" s="720" t="s">
        <v>4608</v>
      </c>
      <c r="E39" s="720" t="s">
        <v>4636</v>
      </c>
      <c r="F39" s="721" t="s">
        <v>4634</v>
      </c>
      <c r="G39" s="720" t="s">
        <v>18</v>
      </c>
      <c r="H39" s="721" t="s">
        <v>4611</v>
      </c>
      <c r="I39" s="721" t="s">
        <v>4611</v>
      </c>
      <c r="J39" s="722">
        <v>5102.0129999999999</v>
      </c>
      <c r="K39" s="722">
        <v>53.31</v>
      </c>
      <c r="L39" s="723">
        <f t="shared" si="0"/>
        <v>95.704614518851997</v>
      </c>
      <c r="M39" s="720">
        <v>48</v>
      </c>
      <c r="N39" s="724">
        <f t="shared" si="1"/>
        <v>106.2919375</v>
      </c>
      <c r="O39" s="725">
        <f t="shared" ca="1" si="2"/>
        <v>17</v>
      </c>
      <c r="P39" s="723">
        <f t="shared" ca="1" si="3"/>
        <v>3295.0500625</v>
      </c>
      <c r="Q39" s="720" t="s">
        <v>4612</v>
      </c>
    </row>
    <row r="40" spans="2:17" ht="30" x14ac:dyDescent="0.25">
      <c r="B40" s="719">
        <v>44797</v>
      </c>
      <c r="C40" s="719">
        <v>44797</v>
      </c>
      <c r="D40" s="720" t="s">
        <v>4608</v>
      </c>
      <c r="E40" s="720" t="s">
        <v>4637</v>
      </c>
      <c r="F40" s="721" t="s">
        <v>4634</v>
      </c>
      <c r="G40" s="720" t="s">
        <v>18</v>
      </c>
      <c r="H40" s="721" t="s">
        <v>4611</v>
      </c>
      <c r="I40" s="721" t="s">
        <v>4611</v>
      </c>
      <c r="J40" s="722">
        <v>5102.0129999999999</v>
      </c>
      <c r="K40" s="722">
        <v>53.31</v>
      </c>
      <c r="L40" s="723">
        <f t="shared" si="0"/>
        <v>95.704614518851997</v>
      </c>
      <c r="M40" s="720">
        <v>48</v>
      </c>
      <c r="N40" s="724">
        <f t="shared" si="1"/>
        <v>106.2919375</v>
      </c>
      <c r="O40" s="725">
        <f t="shared" ca="1" si="2"/>
        <v>17</v>
      </c>
      <c r="P40" s="723">
        <f t="shared" ca="1" si="3"/>
        <v>3295.0500625</v>
      </c>
      <c r="Q40" s="720" t="s">
        <v>4612</v>
      </c>
    </row>
    <row r="41" spans="2:17" ht="30" x14ac:dyDescent="0.25">
      <c r="B41" s="719">
        <v>44797</v>
      </c>
      <c r="C41" s="719">
        <v>44797</v>
      </c>
      <c r="D41" s="720" t="s">
        <v>4608</v>
      </c>
      <c r="E41" s="720" t="s">
        <v>4638</v>
      </c>
      <c r="F41" s="721" t="s">
        <v>4634</v>
      </c>
      <c r="G41" s="720" t="s">
        <v>18</v>
      </c>
      <c r="H41" s="721" t="s">
        <v>4611</v>
      </c>
      <c r="I41" s="721" t="s">
        <v>4611</v>
      </c>
      <c r="J41" s="722">
        <v>5102.0129999999999</v>
      </c>
      <c r="K41" s="722">
        <v>53.31</v>
      </c>
      <c r="L41" s="723">
        <f t="shared" si="0"/>
        <v>95.704614518851997</v>
      </c>
      <c r="M41" s="720">
        <v>48</v>
      </c>
      <c r="N41" s="724">
        <f t="shared" si="1"/>
        <v>106.2919375</v>
      </c>
      <c r="O41" s="725">
        <f t="shared" ca="1" si="2"/>
        <v>17</v>
      </c>
      <c r="P41" s="723">
        <f t="shared" ca="1" si="3"/>
        <v>3295.0500625</v>
      </c>
      <c r="Q41" s="720" t="s">
        <v>4612</v>
      </c>
    </row>
    <row r="42" spans="2:17" ht="30" x14ac:dyDescent="0.25">
      <c r="B42" s="719">
        <v>44797</v>
      </c>
      <c r="C42" s="719">
        <v>44797</v>
      </c>
      <c r="D42" s="720" t="s">
        <v>4608</v>
      </c>
      <c r="E42" s="720" t="s">
        <v>4639</v>
      </c>
      <c r="F42" s="721" t="s">
        <v>4634</v>
      </c>
      <c r="G42" s="720" t="s">
        <v>18</v>
      </c>
      <c r="H42" s="721" t="s">
        <v>4611</v>
      </c>
      <c r="I42" s="721" t="s">
        <v>4611</v>
      </c>
      <c r="J42" s="722">
        <v>5102.0129999999999</v>
      </c>
      <c r="K42" s="722">
        <v>53.31</v>
      </c>
      <c r="L42" s="723">
        <f t="shared" si="0"/>
        <v>95.704614518851997</v>
      </c>
      <c r="M42" s="720">
        <v>48</v>
      </c>
      <c r="N42" s="724">
        <f t="shared" si="1"/>
        <v>106.2919375</v>
      </c>
      <c r="O42" s="725">
        <f t="shared" ca="1" si="2"/>
        <v>17</v>
      </c>
      <c r="P42" s="723">
        <f t="shared" ca="1" si="3"/>
        <v>3295.0500625</v>
      </c>
      <c r="Q42" s="720" t="s">
        <v>4612</v>
      </c>
    </row>
    <row r="43" spans="2:17" ht="30" x14ac:dyDescent="0.25">
      <c r="B43" s="719">
        <v>44797</v>
      </c>
      <c r="C43" s="719">
        <v>44797</v>
      </c>
      <c r="D43" s="720" t="s">
        <v>4608</v>
      </c>
      <c r="E43" s="720" t="s">
        <v>4640</v>
      </c>
      <c r="F43" s="721" t="s">
        <v>4634</v>
      </c>
      <c r="G43" s="720" t="s">
        <v>18</v>
      </c>
      <c r="H43" s="721" t="s">
        <v>4611</v>
      </c>
      <c r="I43" s="721" t="s">
        <v>4611</v>
      </c>
      <c r="J43" s="722">
        <v>5102.0129999999999</v>
      </c>
      <c r="K43" s="722">
        <v>53.31</v>
      </c>
      <c r="L43" s="723">
        <f t="shared" si="0"/>
        <v>95.704614518851997</v>
      </c>
      <c r="M43" s="720">
        <v>48</v>
      </c>
      <c r="N43" s="724">
        <f t="shared" si="1"/>
        <v>106.2919375</v>
      </c>
      <c r="O43" s="725">
        <f t="shared" ca="1" si="2"/>
        <v>17</v>
      </c>
      <c r="P43" s="723">
        <f t="shared" ca="1" si="3"/>
        <v>3295.0500625</v>
      </c>
      <c r="Q43" s="720" t="s">
        <v>4612</v>
      </c>
    </row>
    <row r="44" spans="2:17" ht="30" x14ac:dyDescent="0.25">
      <c r="B44" s="719">
        <v>44797</v>
      </c>
      <c r="C44" s="719">
        <v>44797</v>
      </c>
      <c r="D44" s="720" t="s">
        <v>4608</v>
      </c>
      <c r="E44" s="720" t="s">
        <v>4641</v>
      </c>
      <c r="F44" s="721" t="s">
        <v>4634</v>
      </c>
      <c r="G44" s="720" t="s">
        <v>18</v>
      </c>
      <c r="H44" s="721" t="s">
        <v>4611</v>
      </c>
      <c r="I44" s="721" t="s">
        <v>4611</v>
      </c>
      <c r="J44" s="722">
        <v>5102.0129999999999</v>
      </c>
      <c r="K44" s="722">
        <v>53.31</v>
      </c>
      <c r="L44" s="723">
        <f t="shared" si="0"/>
        <v>95.704614518851997</v>
      </c>
      <c r="M44" s="720">
        <v>48</v>
      </c>
      <c r="N44" s="724">
        <f t="shared" si="1"/>
        <v>106.2919375</v>
      </c>
      <c r="O44" s="725">
        <f t="shared" ca="1" si="2"/>
        <v>17</v>
      </c>
      <c r="P44" s="723">
        <f t="shared" ca="1" si="3"/>
        <v>3295.0500625</v>
      </c>
      <c r="Q44" s="720" t="s">
        <v>4612</v>
      </c>
    </row>
    <row r="45" spans="2:17" ht="30" x14ac:dyDescent="0.25">
      <c r="B45" s="719">
        <v>44797</v>
      </c>
      <c r="C45" s="719">
        <v>44797</v>
      </c>
      <c r="D45" s="720" t="s">
        <v>4608</v>
      </c>
      <c r="E45" s="720" t="s">
        <v>4642</v>
      </c>
      <c r="F45" s="721" t="s">
        <v>4634</v>
      </c>
      <c r="G45" s="720" t="s">
        <v>18</v>
      </c>
      <c r="H45" s="721" t="s">
        <v>4611</v>
      </c>
      <c r="I45" s="721" t="s">
        <v>4611</v>
      </c>
      <c r="J45" s="722">
        <v>5102.0129999999999</v>
      </c>
      <c r="K45" s="722">
        <v>53.31</v>
      </c>
      <c r="L45" s="723">
        <f t="shared" si="0"/>
        <v>95.704614518851997</v>
      </c>
      <c r="M45" s="720">
        <v>48</v>
      </c>
      <c r="N45" s="724">
        <f t="shared" si="1"/>
        <v>106.2919375</v>
      </c>
      <c r="O45" s="725">
        <f t="shared" ca="1" si="2"/>
        <v>17</v>
      </c>
      <c r="P45" s="723">
        <f t="shared" ca="1" si="3"/>
        <v>3295.0500625</v>
      </c>
      <c r="Q45" s="720" t="s">
        <v>4612</v>
      </c>
    </row>
    <row r="46" spans="2:17" ht="30" x14ac:dyDescent="0.25">
      <c r="B46" s="719">
        <v>44797</v>
      </c>
      <c r="C46" s="719">
        <v>44797</v>
      </c>
      <c r="D46" s="720" t="s">
        <v>4608</v>
      </c>
      <c r="E46" s="720" t="s">
        <v>4643</v>
      </c>
      <c r="F46" s="721" t="s">
        <v>4634</v>
      </c>
      <c r="G46" s="720" t="s">
        <v>18</v>
      </c>
      <c r="H46" s="721" t="s">
        <v>4611</v>
      </c>
      <c r="I46" s="721" t="s">
        <v>4611</v>
      </c>
      <c r="J46" s="722">
        <v>5102.0129999999999</v>
      </c>
      <c r="K46" s="722">
        <v>53.31</v>
      </c>
      <c r="L46" s="723">
        <f t="shared" si="0"/>
        <v>95.704614518851997</v>
      </c>
      <c r="M46" s="720">
        <v>48</v>
      </c>
      <c r="N46" s="724">
        <f t="shared" si="1"/>
        <v>106.2919375</v>
      </c>
      <c r="O46" s="725">
        <f t="shared" ca="1" si="2"/>
        <v>17</v>
      </c>
      <c r="P46" s="723">
        <f t="shared" ca="1" si="3"/>
        <v>3295.0500625</v>
      </c>
      <c r="Q46" s="720" t="s">
        <v>4612</v>
      </c>
    </row>
    <row r="47" spans="2:17" ht="30" x14ac:dyDescent="0.25">
      <c r="B47" s="719">
        <v>44797</v>
      </c>
      <c r="C47" s="719">
        <v>44797</v>
      </c>
      <c r="D47" s="720" t="s">
        <v>4608</v>
      </c>
      <c r="E47" s="720" t="s">
        <v>4644</v>
      </c>
      <c r="F47" s="721" t="s">
        <v>4645</v>
      </c>
      <c r="G47" s="720" t="s">
        <v>18</v>
      </c>
      <c r="H47" s="721" t="s">
        <v>4611</v>
      </c>
      <c r="I47" s="721" t="s">
        <v>4611</v>
      </c>
      <c r="J47" s="722">
        <v>5102.0129999999999</v>
      </c>
      <c r="K47" s="722">
        <v>53.31</v>
      </c>
      <c r="L47" s="723">
        <f t="shared" si="0"/>
        <v>95.704614518851997</v>
      </c>
      <c r="M47" s="720">
        <v>48</v>
      </c>
      <c r="N47" s="724">
        <f t="shared" si="1"/>
        <v>106.2919375</v>
      </c>
      <c r="O47" s="725">
        <f t="shared" ca="1" si="2"/>
        <v>17</v>
      </c>
      <c r="P47" s="723">
        <f t="shared" ca="1" si="3"/>
        <v>3295.0500625</v>
      </c>
      <c r="Q47" s="720" t="s">
        <v>4612</v>
      </c>
    </row>
    <row r="48" spans="2:17" ht="30" x14ac:dyDescent="0.25">
      <c r="B48" s="719">
        <v>44797</v>
      </c>
      <c r="C48" s="719">
        <v>44797</v>
      </c>
      <c r="D48" s="720" t="s">
        <v>4608</v>
      </c>
      <c r="E48" s="720" t="s">
        <v>4646</v>
      </c>
      <c r="F48" s="721" t="s">
        <v>4645</v>
      </c>
      <c r="G48" s="720" t="s">
        <v>18</v>
      </c>
      <c r="H48" s="721" t="s">
        <v>4611</v>
      </c>
      <c r="I48" s="721" t="s">
        <v>4611</v>
      </c>
      <c r="J48" s="722">
        <v>5102.0129999999999</v>
      </c>
      <c r="K48" s="722">
        <v>53.31</v>
      </c>
      <c r="L48" s="723">
        <f t="shared" si="0"/>
        <v>95.704614518851997</v>
      </c>
      <c r="M48" s="720">
        <v>48</v>
      </c>
      <c r="N48" s="724">
        <f t="shared" si="1"/>
        <v>106.2919375</v>
      </c>
      <c r="O48" s="725">
        <f t="shared" ca="1" si="2"/>
        <v>17</v>
      </c>
      <c r="P48" s="723">
        <f t="shared" ca="1" si="3"/>
        <v>3295.0500625</v>
      </c>
      <c r="Q48" s="720" t="s">
        <v>4612</v>
      </c>
    </row>
    <row r="49" spans="2:17" ht="30" x14ac:dyDescent="0.25">
      <c r="B49" s="719">
        <v>44797</v>
      </c>
      <c r="C49" s="719">
        <v>44797</v>
      </c>
      <c r="D49" s="720" t="s">
        <v>4608</v>
      </c>
      <c r="E49" s="720" t="s">
        <v>4647</v>
      </c>
      <c r="F49" s="721" t="s">
        <v>4645</v>
      </c>
      <c r="G49" s="720" t="s">
        <v>18</v>
      </c>
      <c r="H49" s="721" t="s">
        <v>4611</v>
      </c>
      <c r="I49" s="721" t="s">
        <v>4611</v>
      </c>
      <c r="J49" s="722">
        <v>5102.0129999999999</v>
      </c>
      <c r="K49" s="722">
        <v>53.31</v>
      </c>
      <c r="L49" s="723">
        <f t="shared" si="0"/>
        <v>95.704614518851997</v>
      </c>
      <c r="M49" s="720">
        <v>48</v>
      </c>
      <c r="N49" s="724">
        <f t="shared" si="1"/>
        <v>106.2919375</v>
      </c>
      <c r="O49" s="725">
        <f t="shared" ca="1" si="2"/>
        <v>17</v>
      </c>
      <c r="P49" s="723">
        <f t="shared" ca="1" si="3"/>
        <v>3295.0500625</v>
      </c>
      <c r="Q49" s="720" t="s">
        <v>4612</v>
      </c>
    </row>
    <row r="50" spans="2:17" ht="30" x14ac:dyDescent="0.25">
      <c r="B50" s="719">
        <v>44797</v>
      </c>
      <c r="C50" s="719">
        <v>44797</v>
      </c>
      <c r="D50" s="720" t="s">
        <v>4608</v>
      </c>
      <c r="E50" s="720" t="s">
        <v>4648</v>
      </c>
      <c r="F50" s="721" t="s">
        <v>4645</v>
      </c>
      <c r="G50" s="720" t="s">
        <v>18</v>
      </c>
      <c r="H50" s="721" t="s">
        <v>4611</v>
      </c>
      <c r="I50" s="721" t="s">
        <v>4611</v>
      </c>
      <c r="J50" s="722">
        <v>5102.0129999999999</v>
      </c>
      <c r="K50" s="722">
        <v>53.31</v>
      </c>
      <c r="L50" s="723">
        <f t="shared" si="0"/>
        <v>95.704614518851997</v>
      </c>
      <c r="M50" s="720">
        <v>48</v>
      </c>
      <c r="N50" s="724">
        <f t="shared" si="1"/>
        <v>106.2919375</v>
      </c>
      <c r="O50" s="725">
        <f t="shared" ca="1" si="2"/>
        <v>17</v>
      </c>
      <c r="P50" s="723">
        <f t="shared" ca="1" si="3"/>
        <v>3295.0500625</v>
      </c>
      <c r="Q50" s="720" t="s">
        <v>4612</v>
      </c>
    </row>
    <row r="51" spans="2:17" ht="30" x14ac:dyDescent="0.25">
      <c r="B51" s="719">
        <v>44797</v>
      </c>
      <c r="C51" s="719">
        <v>44797</v>
      </c>
      <c r="D51" s="720" t="s">
        <v>4608</v>
      </c>
      <c r="E51" s="720" t="s">
        <v>4649</v>
      </c>
      <c r="F51" s="721" t="s">
        <v>4645</v>
      </c>
      <c r="G51" s="720" t="s">
        <v>18</v>
      </c>
      <c r="H51" s="721" t="s">
        <v>4611</v>
      </c>
      <c r="I51" s="721" t="s">
        <v>4611</v>
      </c>
      <c r="J51" s="722">
        <v>5102.0129999999999</v>
      </c>
      <c r="K51" s="722">
        <v>53.31</v>
      </c>
      <c r="L51" s="723">
        <f t="shared" si="0"/>
        <v>95.704614518851997</v>
      </c>
      <c r="M51" s="720">
        <v>48</v>
      </c>
      <c r="N51" s="724">
        <f t="shared" si="1"/>
        <v>106.2919375</v>
      </c>
      <c r="O51" s="725">
        <f t="shared" ca="1" si="2"/>
        <v>17</v>
      </c>
      <c r="P51" s="723">
        <f t="shared" ca="1" si="3"/>
        <v>3295.0500625</v>
      </c>
      <c r="Q51" s="720" t="s">
        <v>4612</v>
      </c>
    </row>
    <row r="52" spans="2:17" ht="30" x14ac:dyDescent="0.25">
      <c r="B52" s="719">
        <v>44797</v>
      </c>
      <c r="C52" s="719">
        <v>44797</v>
      </c>
      <c r="D52" s="720" t="s">
        <v>4608</v>
      </c>
      <c r="E52" s="720" t="s">
        <v>4650</v>
      </c>
      <c r="F52" s="721" t="s">
        <v>4645</v>
      </c>
      <c r="G52" s="720" t="s">
        <v>18</v>
      </c>
      <c r="H52" s="721" t="s">
        <v>4611</v>
      </c>
      <c r="I52" s="721" t="s">
        <v>4611</v>
      </c>
      <c r="J52" s="722">
        <v>5102.0129999999999</v>
      </c>
      <c r="K52" s="722">
        <v>53.31</v>
      </c>
      <c r="L52" s="723">
        <f t="shared" si="0"/>
        <v>95.704614518851997</v>
      </c>
      <c r="M52" s="720">
        <v>48</v>
      </c>
      <c r="N52" s="724">
        <f t="shared" si="1"/>
        <v>106.2919375</v>
      </c>
      <c r="O52" s="725">
        <f t="shared" ca="1" si="2"/>
        <v>17</v>
      </c>
      <c r="P52" s="723">
        <f t="shared" ca="1" si="3"/>
        <v>3295.0500625</v>
      </c>
      <c r="Q52" s="720" t="s">
        <v>4612</v>
      </c>
    </row>
    <row r="53" spans="2:17" ht="30" x14ac:dyDescent="0.25">
      <c r="B53" s="719">
        <v>44797</v>
      </c>
      <c r="C53" s="719">
        <v>44797</v>
      </c>
      <c r="D53" s="720" t="s">
        <v>4608</v>
      </c>
      <c r="E53" s="720" t="s">
        <v>4651</v>
      </c>
      <c r="F53" s="721" t="s">
        <v>4645</v>
      </c>
      <c r="G53" s="720" t="s">
        <v>18</v>
      </c>
      <c r="H53" s="721" t="s">
        <v>4611</v>
      </c>
      <c r="I53" s="721" t="s">
        <v>4611</v>
      </c>
      <c r="J53" s="722">
        <v>5102.0129999999999</v>
      </c>
      <c r="K53" s="722">
        <v>53.31</v>
      </c>
      <c r="L53" s="723">
        <f t="shared" si="0"/>
        <v>95.704614518851997</v>
      </c>
      <c r="M53" s="720">
        <v>48</v>
      </c>
      <c r="N53" s="724">
        <f t="shared" si="1"/>
        <v>106.2919375</v>
      </c>
      <c r="O53" s="725">
        <f t="shared" ca="1" si="2"/>
        <v>17</v>
      </c>
      <c r="P53" s="723">
        <f t="shared" ca="1" si="3"/>
        <v>3295.0500625</v>
      </c>
      <c r="Q53" s="720" t="s">
        <v>4612</v>
      </c>
    </row>
    <row r="54" spans="2:17" ht="30" x14ac:dyDescent="0.25">
      <c r="B54" s="719">
        <v>44797</v>
      </c>
      <c r="C54" s="719">
        <v>44797</v>
      </c>
      <c r="D54" s="720" t="s">
        <v>4608</v>
      </c>
      <c r="E54" s="720" t="s">
        <v>4652</v>
      </c>
      <c r="F54" s="721" t="s">
        <v>4645</v>
      </c>
      <c r="G54" s="720" t="s">
        <v>18</v>
      </c>
      <c r="H54" s="721" t="s">
        <v>4611</v>
      </c>
      <c r="I54" s="721" t="s">
        <v>4611</v>
      </c>
      <c r="J54" s="722">
        <v>5102.0129999999999</v>
      </c>
      <c r="K54" s="722">
        <v>53.31</v>
      </c>
      <c r="L54" s="723">
        <f t="shared" si="0"/>
        <v>95.704614518851997</v>
      </c>
      <c r="M54" s="720">
        <v>48</v>
      </c>
      <c r="N54" s="724">
        <f t="shared" si="1"/>
        <v>106.2919375</v>
      </c>
      <c r="O54" s="725">
        <f t="shared" ca="1" si="2"/>
        <v>17</v>
      </c>
      <c r="P54" s="723">
        <f t="shared" ca="1" si="3"/>
        <v>3295.0500625</v>
      </c>
      <c r="Q54" s="720" t="s">
        <v>4612</v>
      </c>
    </row>
    <row r="55" spans="2:17" ht="30" x14ac:dyDescent="0.25">
      <c r="B55" s="719">
        <v>44797</v>
      </c>
      <c r="C55" s="719">
        <v>44797</v>
      </c>
      <c r="D55" s="720" t="s">
        <v>4608</v>
      </c>
      <c r="E55" s="720" t="s">
        <v>4653</v>
      </c>
      <c r="F55" s="721" t="s">
        <v>4645</v>
      </c>
      <c r="G55" s="720" t="s">
        <v>18</v>
      </c>
      <c r="H55" s="721" t="s">
        <v>4611</v>
      </c>
      <c r="I55" s="721" t="s">
        <v>4611</v>
      </c>
      <c r="J55" s="722">
        <v>5102.0129999999999</v>
      </c>
      <c r="K55" s="722">
        <v>53.31</v>
      </c>
      <c r="L55" s="723">
        <f t="shared" si="0"/>
        <v>95.704614518851997</v>
      </c>
      <c r="M55" s="720">
        <v>48</v>
      </c>
      <c r="N55" s="724">
        <f t="shared" si="1"/>
        <v>106.2919375</v>
      </c>
      <c r="O55" s="725">
        <f t="shared" ca="1" si="2"/>
        <v>17</v>
      </c>
      <c r="P55" s="723">
        <f t="shared" ca="1" si="3"/>
        <v>3295.0500625</v>
      </c>
      <c r="Q55" s="720" t="s">
        <v>4612</v>
      </c>
    </row>
    <row r="56" spans="2:17" ht="30" x14ac:dyDescent="0.25">
      <c r="B56" s="719">
        <v>44797</v>
      </c>
      <c r="C56" s="719">
        <v>44797</v>
      </c>
      <c r="D56" s="720" t="s">
        <v>4608</v>
      </c>
      <c r="E56" s="720" t="s">
        <v>4654</v>
      </c>
      <c r="F56" s="721" t="s">
        <v>4645</v>
      </c>
      <c r="G56" s="720" t="s">
        <v>18</v>
      </c>
      <c r="H56" s="721" t="s">
        <v>4611</v>
      </c>
      <c r="I56" s="721" t="s">
        <v>4611</v>
      </c>
      <c r="J56" s="722">
        <v>5102.0129999999999</v>
      </c>
      <c r="K56" s="722">
        <v>53.31</v>
      </c>
      <c r="L56" s="723">
        <f t="shared" si="0"/>
        <v>95.704614518851997</v>
      </c>
      <c r="M56" s="720">
        <v>48</v>
      </c>
      <c r="N56" s="724">
        <f t="shared" si="1"/>
        <v>106.2919375</v>
      </c>
      <c r="O56" s="725">
        <f t="shared" ca="1" si="2"/>
        <v>17</v>
      </c>
      <c r="P56" s="723">
        <f t="shared" ca="1" si="3"/>
        <v>3295.0500625</v>
      </c>
      <c r="Q56" s="720" t="s">
        <v>4612</v>
      </c>
    </row>
    <row r="57" spans="2:17" ht="30" x14ac:dyDescent="0.25">
      <c r="B57" s="719">
        <v>44797</v>
      </c>
      <c r="C57" s="719">
        <v>44797</v>
      </c>
      <c r="D57" s="720" t="s">
        <v>4608</v>
      </c>
      <c r="E57" s="720" t="s">
        <v>4655</v>
      </c>
      <c r="F57" s="721" t="s">
        <v>4656</v>
      </c>
      <c r="G57" s="720" t="s">
        <v>18</v>
      </c>
      <c r="H57" s="721" t="s">
        <v>4611</v>
      </c>
      <c r="I57" s="721" t="s">
        <v>4611</v>
      </c>
      <c r="J57" s="722">
        <v>14980.477999999999</v>
      </c>
      <c r="K57" s="722">
        <v>53.31</v>
      </c>
      <c r="L57" s="723">
        <f t="shared" si="0"/>
        <v>281.00690302007126</v>
      </c>
      <c r="M57" s="720">
        <v>48</v>
      </c>
      <c r="N57" s="724">
        <f t="shared" si="1"/>
        <v>312.09329166666663</v>
      </c>
      <c r="O57" s="725">
        <f t="shared" ca="1" si="2"/>
        <v>17</v>
      </c>
      <c r="P57" s="723">
        <f t="shared" ca="1" si="3"/>
        <v>9674.892041666666</v>
      </c>
      <c r="Q57" s="720" t="s">
        <v>4612</v>
      </c>
    </row>
    <row r="58" spans="2:17" ht="30" x14ac:dyDescent="0.25">
      <c r="B58" s="719">
        <v>44797</v>
      </c>
      <c r="C58" s="719">
        <v>44797</v>
      </c>
      <c r="D58" s="720" t="s">
        <v>4608</v>
      </c>
      <c r="E58" s="720" t="s">
        <v>4657</v>
      </c>
      <c r="F58" s="721" t="s">
        <v>4656</v>
      </c>
      <c r="G58" s="720" t="s">
        <v>18</v>
      </c>
      <c r="H58" s="721" t="s">
        <v>4611</v>
      </c>
      <c r="I58" s="721" t="s">
        <v>4611</v>
      </c>
      <c r="J58" s="722">
        <v>14980.477999999999</v>
      </c>
      <c r="K58" s="722">
        <v>53.31</v>
      </c>
      <c r="L58" s="723">
        <f t="shared" si="0"/>
        <v>281.00690302007126</v>
      </c>
      <c r="M58" s="720">
        <v>48</v>
      </c>
      <c r="N58" s="724">
        <f t="shared" si="1"/>
        <v>312.09329166666663</v>
      </c>
      <c r="O58" s="725">
        <f t="shared" ca="1" si="2"/>
        <v>17</v>
      </c>
      <c r="P58" s="723">
        <f t="shared" ca="1" si="3"/>
        <v>9674.892041666666</v>
      </c>
      <c r="Q58" s="720" t="s">
        <v>4612</v>
      </c>
    </row>
    <row r="59" spans="2:17" ht="30" x14ac:dyDescent="0.25">
      <c r="B59" s="719">
        <v>44797</v>
      </c>
      <c r="C59" s="719">
        <v>44797</v>
      </c>
      <c r="D59" s="720" t="s">
        <v>4608</v>
      </c>
      <c r="E59" s="720" t="s">
        <v>4658</v>
      </c>
      <c r="F59" s="721" t="s">
        <v>4656</v>
      </c>
      <c r="G59" s="720" t="s">
        <v>18</v>
      </c>
      <c r="H59" s="721" t="s">
        <v>4611</v>
      </c>
      <c r="I59" s="721" t="s">
        <v>4611</v>
      </c>
      <c r="J59" s="722">
        <v>14980.477999999999</v>
      </c>
      <c r="K59" s="722">
        <v>53.31</v>
      </c>
      <c r="L59" s="723">
        <f t="shared" si="0"/>
        <v>281.00690302007126</v>
      </c>
      <c r="M59" s="720">
        <v>48</v>
      </c>
      <c r="N59" s="724">
        <f t="shared" si="1"/>
        <v>312.09329166666663</v>
      </c>
      <c r="O59" s="725">
        <f t="shared" ca="1" si="2"/>
        <v>17</v>
      </c>
      <c r="P59" s="723">
        <f t="shared" ca="1" si="3"/>
        <v>9674.892041666666</v>
      </c>
      <c r="Q59" s="720" t="s">
        <v>4612</v>
      </c>
    </row>
    <row r="60" spans="2:17" ht="30" x14ac:dyDescent="0.25">
      <c r="B60" s="719">
        <v>44797</v>
      </c>
      <c r="C60" s="719">
        <v>44797</v>
      </c>
      <c r="D60" s="720" t="s">
        <v>4608</v>
      </c>
      <c r="E60" s="720" t="s">
        <v>4659</v>
      </c>
      <c r="F60" s="721" t="s">
        <v>4656</v>
      </c>
      <c r="G60" s="720" t="s">
        <v>18</v>
      </c>
      <c r="H60" s="721" t="s">
        <v>4611</v>
      </c>
      <c r="I60" s="721" t="s">
        <v>4611</v>
      </c>
      <c r="J60" s="722">
        <v>14980.477999999999</v>
      </c>
      <c r="K60" s="722">
        <v>53.31</v>
      </c>
      <c r="L60" s="723">
        <f t="shared" si="0"/>
        <v>281.00690302007126</v>
      </c>
      <c r="M60" s="720">
        <v>48</v>
      </c>
      <c r="N60" s="724">
        <f t="shared" si="1"/>
        <v>312.09329166666663</v>
      </c>
      <c r="O60" s="725">
        <f t="shared" ca="1" si="2"/>
        <v>17</v>
      </c>
      <c r="P60" s="723">
        <f t="shared" ca="1" si="3"/>
        <v>9674.892041666666</v>
      </c>
      <c r="Q60" s="720" t="s">
        <v>4612</v>
      </c>
    </row>
    <row r="61" spans="2:17" ht="30" x14ac:dyDescent="0.25">
      <c r="B61" s="719">
        <v>44797</v>
      </c>
      <c r="C61" s="719">
        <v>44797</v>
      </c>
      <c r="D61" s="720" t="s">
        <v>4608</v>
      </c>
      <c r="E61" s="720" t="s">
        <v>4660</v>
      </c>
      <c r="F61" s="721" t="s">
        <v>4656</v>
      </c>
      <c r="G61" s="720" t="s">
        <v>18</v>
      </c>
      <c r="H61" s="721" t="s">
        <v>4611</v>
      </c>
      <c r="I61" s="721" t="s">
        <v>4611</v>
      </c>
      <c r="J61" s="722">
        <v>14980.477999999999</v>
      </c>
      <c r="K61" s="722">
        <v>53.31</v>
      </c>
      <c r="L61" s="723">
        <f t="shared" si="0"/>
        <v>281.00690302007126</v>
      </c>
      <c r="M61" s="720">
        <v>48</v>
      </c>
      <c r="N61" s="724">
        <f t="shared" si="1"/>
        <v>312.09329166666663</v>
      </c>
      <c r="O61" s="725">
        <f t="shared" ca="1" si="2"/>
        <v>17</v>
      </c>
      <c r="P61" s="723">
        <f t="shared" ca="1" si="3"/>
        <v>9674.892041666666</v>
      </c>
      <c r="Q61" s="720" t="s">
        <v>4612</v>
      </c>
    </row>
    <row r="62" spans="2:17" ht="30" x14ac:dyDescent="0.25">
      <c r="B62" s="719">
        <v>44797</v>
      </c>
      <c r="C62" s="719">
        <v>44797</v>
      </c>
      <c r="D62" s="720" t="s">
        <v>4608</v>
      </c>
      <c r="E62" s="720" t="s">
        <v>4661</v>
      </c>
      <c r="F62" s="721" t="s">
        <v>4656</v>
      </c>
      <c r="G62" s="720" t="s">
        <v>18</v>
      </c>
      <c r="H62" s="721" t="s">
        <v>4611</v>
      </c>
      <c r="I62" s="721" t="s">
        <v>4611</v>
      </c>
      <c r="J62" s="722">
        <v>14980.477999999999</v>
      </c>
      <c r="K62" s="722">
        <v>53.31</v>
      </c>
      <c r="L62" s="723">
        <f t="shared" si="0"/>
        <v>281.00690302007126</v>
      </c>
      <c r="M62" s="720">
        <v>48</v>
      </c>
      <c r="N62" s="724">
        <f t="shared" si="1"/>
        <v>312.09329166666663</v>
      </c>
      <c r="O62" s="725">
        <f t="shared" ca="1" si="2"/>
        <v>17</v>
      </c>
      <c r="P62" s="723">
        <f t="shared" ca="1" si="3"/>
        <v>9674.892041666666</v>
      </c>
      <c r="Q62" s="720" t="s">
        <v>4612</v>
      </c>
    </row>
    <row r="63" spans="2:17" ht="30" x14ac:dyDescent="0.25">
      <c r="B63" s="719">
        <v>44797</v>
      </c>
      <c r="C63" s="719">
        <v>44797</v>
      </c>
      <c r="D63" s="720" t="s">
        <v>4608</v>
      </c>
      <c r="E63" s="720" t="s">
        <v>4662</v>
      </c>
      <c r="F63" s="721" t="s">
        <v>4656</v>
      </c>
      <c r="G63" s="720" t="s">
        <v>18</v>
      </c>
      <c r="H63" s="721" t="s">
        <v>4611</v>
      </c>
      <c r="I63" s="721" t="s">
        <v>4611</v>
      </c>
      <c r="J63" s="722">
        <v>14980.477999999999</v>
      </c>
      <c r="K63" s="722">
        <v>53.31</v>
      </c>
      <c r="L63" s="723">
        <f t="shared" si="0"/>
        <v>281.00690302007126</v>
      </c>
      <c r="M63" s="720">
        <v>48</v>
      </c>
      <c r="N63" s="724">
        <f t="shared" si="1"/>
        <v>312.09329166666663</v>
      </c>
      <c r="O63" s="725">
        <f t="shared" ca="1" si="2"/>
        <v>17</v>
      </c>
      <c r="P63" s="723">
        <f t="shared" ca="1" si="3"/>
        <v>9674.892041666666</v>
      </c>
      <c r="Q63" s="720" t="s">
        <v>4612</v>
      </c>
    </row>
    <row r="64" spans="2:17" ht="30" x14ac:dyDescent="0.25">
      <c r="B64" s="719">
        <v>44797</v>
      </c>
      <c r="C64" s="719">
        <v>44797</v>
      </c>
      <c r="D64" s="720" t="s">
        <v>4608</v>
      </c>
      <c r="E64" s="720" t="s">
        <v>4663</v>
      </c>
      <c r="F64" s="721" t="s">
        <v>4656</v>
      </c>
      <c r="G64" s="720" t="s">
        <v>18</v>
      </c>
      <c r="H64" s="721" t="s">
        <v>4611</v>
      </c>
      <c r="I64" s="721" t="s">
        <v>4611</v>
      </c>
      <c r="J64" s="722">
        <v>14980.477999999999</v>
      </c>
      <c r="K64" s="722">
        <v>53.31</v>
      </c>
      <c r="L64" s="723">
        <f t="shared" si="0"/>
        <v>281.00690302007126</v>
      </c>
      <c r="M64" s="720">
        <v>48</v>
      </c>
      <c r="N64" s="724">
        <f t="shared" si="1"/>
        <v>312.09329166666663</v>
      </c>
      <c r="O64" s="725">
        <f t="shared" ca="1" si="2"/>
        <v>17</v>
      </c>
      <c r="P64" s="723">
        <f t="shared" ca="1" si="3"/>
        <v>9674.892041666666</v>
      </c>
      <c r="Q64" s="720" t="s">
        <v>4612</v>
      </c>
    </row>
    <row r="65" spans="2:17" ht="30" x14ac:dyDescent="0.25">
      <c r="B65" s="719">
        <v>44797</v>
      </c>
      <c r="C65" s="719">
        <v>44797</v>
      </c>
      <c r="D65" s="720" t="s">
        <v>4608</v>
      </c>
      <c r="E65" s="720" t="s">
        <v>4664</v>
      </c>
      <c r="F65" s="721" t="s">
        <v>4656</v>
      </c>
      <c r="G65" s="720" t="s">
        <v>18</v>
      </c>
      <c r="H65" s="721" t="s">
        <v>4611</v>
      </c>
      <c r="I65" s="721" t="s">
        <v>4611</v>
      </c>
      <c r="J65" s="722">
        <v>14980.477999999999</v>
      </c>
      <c r="K65" s="722">
        <v>53.31</v>
      </c>
      <c r="L65" s="723">
        <f t="shared" si="0"/>
        <v>281.00690302007126</v>
      </c>
      <c r="M65" s="720">
        <v>48</v>
      </c>
      <c r="N65" s="724">
        <f t="shared" si="1"/>
        <v>312.09329166666663</v>
      </c>
      <c r="O65" s="725">
        <f t="shared" ca="1" si="2"/>
        <v>17</v>
      </c>
      <c r="P65" s="723">
        <f t="shared" ca="1" si="3"/>
        <v>9674.892041666666</v>
      </c>
      <c r="Q65" s="720" t="s">
        <v>4612</v>
      </c>
    </row>
    <row r="66" spans="2:17" ht="30" x14ac:dyDescent="0.25">
      <c r="B66" s="719">
        <v>44797</v>
      </c>
      <c r="C66" s="719">
        <v>44797</v>
      </c>
      <c r="D66" s="720" t="s">
        <v>4608</v>
      </c>
      <c r="E66" s="720" t="s">
        <v>4665</v>
      </c>
      <c r="F66" s="721" t="s">
        <v>4656</v>
      </c>
      <c r="G66" s="720" t="s">
        <v>18</v>
      </c>
      <c r="H66" s="721" t="s">
        <v>4611</v>
      </c>
      <c r="I66" s="721" t="s">
        <v>4611</v>
      </c>
      <c r="J66" s="722">
        <v>14980.477999999999</v>
      </c>
      <c r="K66" s="722">
        <v>53.31</v>
      </c>
      <c r="L66" s="723">
        <f t="shared" si="0"/>
        <v>281.00690302007126</v>
      </c>
      <c r="M66" s="720">
        <v>48</v>
      </c>
      <c r="N66" s="724">
        <f t="shared" si="1"/>
        <v>312.09329166666663</v>
      </c>
      <c r="O66" s="725">
        <f t="shared" ca="1" si="2"/>
        <v>17</v>
      </c>
      <c r="P66" s="723">
        <f t="shared" ca="1" si="3"/>
        <v>9674.892041666666</v>
      </c>
      <c r="Q66" s="720" t="s">
        <v>4612</v>
      </c>
    </row>
    <row r="67" spans="2:17" ht="30" x14ac:dyDescent="0.25">
      <c r="B67" s="719">
        <v>44797</v>
      </c>
      <c r="C67" s="719">
        <v>44797</v>
      </c>
      <c r="D67" s="720" t="s">
        <v>4608</v>
      </c>
      <c r="E67" s="720" t="s">
        <v>4666</v>
      </c>
      <c r="F67" s="721" t="s">
        <v>4667</v>
      </c>
      <c r="G67" s="720" t="s">
        <v>18</v>
      </c>
      <c r="H67" s="721" t="s">
        <v>4611</v>
      </c>
      <c r="I67" s="721" t="s">
        <v>4611</v>
      </c>
      <c r="J67" s="722">
        <v>14980.477999999999</v>
      </c>
      <c r="K67" s="722">
        <v>53.31</v>
      </c>
      <c r="L67" s="723">
        <f t="shared" si="0"/>
        <v>281.00690302007126</v>
      </c>
      <c r="M67" s="720">
        <v>48</v>
      </c>
      <c r="N67" s="724">
        <f t="shared" si="1"/>
        <v>312.09329166666663</v>
      </c>
      <c r="O67" s="725">
        <f t="shared" ca="1" si="2"/>
        <v>17</v>
      </c>
      <c r="P67" s="723">
        <f t="shared" ca="1" si="3"/>
        <v>9674.892041666666</v>
      </c>
      <c r="Q67" s="720" t="s">
        <v>4612</v>
      </c>
    </row>
    <row r="68" spans="2:17" ht="30" x14ac:dyDescent="0.25">
      <c r="B68" s="719">
        <v>44797</v>
      </c>
      <c r="C68" s="719">
        <v>44797</v>
      </c>
      <c r="D68" s="720" t="s">
        <v>4608</v>
      </c>
      <c r="E68" s="720" t="s">
        <v>4668</v>
      </c>
      <c r="F68" s="721" t="s">
        <v>4667</v>
      </c>
      <c r="G68" s="720" t="s">
        <v>18</v>
      </c>
      <c r="H68" s="721" t="s">
        <v>4611</v>
      </c>
      <c r="I68" s="721" t="s">
        <v>4611</v>
      </c>
      <c r="J68" s="722">
        <v>14980.477999999999</v>
      </c>
      <c r="K68" s="722">
        <v>53.31</v>
      </c>
      <c r="L68" s="723">
        <f t="shared" si="0"/>
        <v>281.00690302007126</v>
      </c>
      <c r="M68" s="720">
        <v>48</v>
      </c>
      <c r="N68" s="724">
        <f t="shared" si="1"/>
        <v>312.09329166666663</v>
      </c>
      <c r="O68" s="725">
        <f t="shared" ca="1" si="2"/>
        <v>17</v>
      </c>
      <c r="P68" s="723">
        <f t="shared" ca="1" si="3"/>
        <v>9674.892041666666</v>
      </c>
      <c r="Q68" s="720" t="s">
        <v>4612</v>
      </c>
    </row>
    <row r="69" spans="2:17" ht="30" x14ac:dyDescent="0.25">
      <c r="B69" s="719">
        <v>44797</v>
      </c>
      <c r="C69" s="719">
        <v>44797</v>
      </c>
      <c r="D69" s="720" t="s">
        <v>4608</v>
      </c>
      <c r="E69" s="720" t="s">
        <v>4669</v>
      </c>
      <c r="F69" s="721" t="s">
        <v>4667</v>
      </c>
      <c r="G69" s="720" t="s">
        <v>18</v>
      </c>
      <c r="H69" s="721" t="s">
        <v>4611</v>
      </c>
      <c r="I69" s="721" t="s">
        <v>4611</v>
      </c>
      <c r="J69" s="722">
        <v>14980.477999999999</v>
      </c>
      <c r="K69" s="722">
        <v>53.31</v>
      </c>
      <c r="L69" s="723">
        <f t="shared" si="0"/>
        <v>281.00690302007126</v>
      </c>
      <c r="M69" s="720">
        <v>48</v>
      </c>
      <c r="N69" s="724">
        <f t="shared" si="1"/>
        <v>312.09329166666663</v>
      </c>
      <c r="O69" s="725">
        <f t="shared" ca="1" si="2"/>
        <v>17</v>
      </c>
      <c r="P69" s="723">
        <f t="shared" ca="1" si="3"/>
        <v>9674.892041666666</v>
      </c>
      <c r="Q69" s="720" t="s">
        <v>4612</v>
      </c>
    </row>
    <row r="70" spans="2:17" ht="30" x14ac:dyDescent="0.25">
      <c r="B70" s="719">
        <v>44797</v>
      </c>
      <c r="C70" s="719">
        <v>44797</v>
      </c>
      <c r="D70" s="720" t="s">
        <v>4608</v>
      </c>
      <c r="E70" s="720" t="s">
        <v>4670</v>
      </c>
      <c r="F70" s="721" t="s">
        <v>4667</v>
      </c>
      <c r="G70" s="720" t="s">
        <v>18</v>
      </c>
      <c r="H70" s="721" t="s">
        <v>4611</v>
      </c>
      <c r="I70" s="721" t="s">
        <v>4611</v>
      </c>
      <c r="J70" s="722">
        <v>14980.477999999999</v>
      </c>
      <c r="K70" s="722">
        <v>53.31</v>
      </c>
      <c r="L70" s="723">
        <f t="shared" si="0"/>
        <v>281.00690302007126</v>
      </c>
      <c r="M70" s="720">
        <v>48</v>
      </c>
      <c r="N70" s="724">
        <f t="shared" si="1"/>
        <v>312.09329166666663</v>
      </c>
      <c r="O70" s="725">
        <f t="shared" ca="1" si="2"/>
        <v>17</v>
      </c>
      <c r="P70" s="723">
        <f t="shared" ca="1" si="3"/>
        <v>9674.892041666666</v>
      </c>
      <c r="Q70" s="720" t="s">
        <v>4612</v>
      </c>
    </row>
    <row r="71" spans="2:17" ht="30" x14ac:dyDescent="0.25">
      <c r="B71" s="719">
        <v>44797</v>
      </c>
      <c r="C71" s="719">
        <v>44797</v>
      </c>
      <c r="D71" s="720" t="s">
        <v>4608</v>
      </c>
      <c r="E71" s="720" t="s">
        <v>4671</v>
      </c>
      <c r="F71" s="721" t="s">
        <v>4667</v>
      </c>
      <c r="G71" s="720" t="s">
        <v>18</v>
      </c>
      <c r="H71" s="721" t="s">
        <v>4611</v>
      </c>
      <c r="I71" s="721" t="s">
        <v>4611</v>
      </c>
      <c r="J71" s="722">
        <v>14980.477999999999</v>
      </c>
      <c r="K71" s="722">
        <v>53.31</v>
      </c>
      <c r="L71" s="723">
        <f t="shared" si="0"/>
        <v>281.00690302007126</v>
      </c>
      <c r="M71" s="720">
        <v>48</v>
      </c>
      <c r="N71" s="724">
        <f t="shared" si="1"/>
        <v>312.09329166666663</v>
      </c>
      <c r="O71" s="725">
        <f t="shared" ca="1" si="2"/>
        <v>17</v>
      </c>
      <c r="P71" s="723">
        <f t="shared" ca="1" si="3"/>
        <v>9674.892041666666</v>
      </c>
      <c r="Q71" s="720" t="s">
        <v>4612</v>
      </c>
    </row>
    <row r="72" spans="2:17" ht="30" x14ac:dyDescent="0.25">
      <c r="B72" s="719">
        <v>44797</v>
      </c>
      <c r="C72" s="719">
        <v>44797</v>
      </c>
      <c r="D72" s="720" t="s">
        <v>4608</v>
      </c>
      <c r="E72" s="720" t="s">
        <v>4672</v>
      </c>
      <c r="F72" s="721" t="s">
        <v>4667</v>
      </c>
      <c r="G72" s="720" t="s">
        <v>18</v>
      </c>
      <c r="H72" s="721" t="s">
        <v>4611</v>
      </c>
      <c r="I72" s="721" t="s">
        <v>4611</v>
      </c>
      <c r="J72" s="722">
        <v>14980.477999999999</v>
      </c>
      <c r="K72" s="722">
        <v>53.31</v>
      </c>
      <c r="L72" s="723">
        <f t="shared" si="0"/>
        <v>281.00690302007126</v>
      </c>
      <c r="M72" s="720">
        <v>48</v>
      </c>
      <c r="N72" s="724">
        <f t="shared" si="1"/>
        <v>312.09329166666663</v>
      </c>
      <c r="O72" s="725">
        <f t="shared" ca="1" si="2"/>
        <v>17</v>
      </c>
      <c r="P72" s="723">
        <f t="shared" ca="1" si="3"/>
        <v>9674.892041666666</v>
      </c>
      <c r="Q72" s="720" t="s">
        <v>4612</v>
      </c>
    </row>
    <row r="73" spans="2:17" ht="30" x14ac:dyDescent="0.25">
      <c r="B73" s="719">
        <v>44797</v>
      </c>
      <c r="C73" s="719">
        <v>44797</v>
      </c>
      <c r="D73" s="720" t="s">
        <v>4608</v>
      </c>
      <c r="E73" s="720" t="s">
        <v>4673</v>
      </c>
      <c r="F73" s="721" t="s">
        <v>4667</v>
      </c>
      <c r="G73" s="720" t="s">
        <v>18</v>
      </c>
      <c r="H73" s="721" t="s">
        <v>4611</v>
      </c>
      <c r="I73" s="721" t="s">
        <v>4611</v>
      </c>
      <c r="J73" s="722">
        <v>14980.477999999999</v>
      </c>
      <c r="K73" s="722">
        <v>53.31</v>
      </c>
      <c r="L73" s="723">
        <f t="shared" si="0"/>
        <v>281.00690302007126</v>
      </c>
      <c r="M73" s="720">
        <v>48</v>
      </c>
      <c r="N73" s="724">
        <f t="shared" si="1"/>
        <v>312.09329166666663</v>
      </c>
      <c r="O73" s="725">
        <f t="shared" ca="1" si="2"/>
        <v>17</v>
      </c>
      <c r="P73" s="723">
        <f t="shared" ca="1" si="3"/>
        <v>9674.892041666666</v>
      </c>
      <c r="Q73" s="720" t="s">
        <v>4612</v>
      </c>
    </row>
    <row r="74" spans="2:17" ht="30" x14ac:dyDescent="0.25">
      <c r="B74" s="719">
        <v>44797</v>
      </c>
      <c r="C74" s="719">
        <v>44797</v>
      </c>
      <c r="D74" s="720" t="s">
        <v>4608</v>
      </c>
      <c r="E74" s="720" t="s">
        <v>4674</v>
      </c>
      <c r="F74" s="721" t="s">
        <v>4667</v>
      </c>
      <c r="G74" s="720" t="s">
        <v>18</v>
      </c>
      <c r="H74" s="721" t="s">
        <v>4611</v>
      </c>
      <c r="I74" s="721" t="s">
        <v>4611</v>
      </c>
      <c r="J74" s="722">
        <v>14980.477999999999</v>
      </c>
      <c r="K74" s="722">
        <v>53.31</v>
      </c>
      <c r="L74" s="723">
        <f t="shared" ref="L74:L137" si="4">+J74/K74</f>
        <v>281.00690302007126</v>
      </c>
      <c r="M74" s="720">
        <v>48</v>
      </c>
      <c r="N74" s="724">
        <f t="shared" ref="N74:N137" si="5">+J74/M74</f>
        <v>312.09329166666663</v>
      </c>
      <c r="O74" s="725">
        <f t="shared" ref="O74:O137" ca="1" si="6">IF(B74&lt;&gt;0,(ROUND((NOW()-B74)/30,0)),0)</f>
        <v>17</v>
      </c>
      <c r="P74" s="723">
        <f t="shared" ref="P74:P137" ca="1" si="7">IF(OR(J74=0,M74=0,O74=0),0,J74-(N74*O74))</f>
        <v>9674.892041666666</v>
      </c>
      <c r="Q74" s="720" t="s">
        <v>4612</v>
      </c>
    </row>
    <row r="75" spans="2:17" ht="30" x14ac:dyDescent="0.25">
      <c r="B75" s="719">
        <v>44797</v>
      </c>
      <c r="C75" s="719">
        <v>44797</v>
      </c>
      <c r="D75" s="720" t="s">
        <v>4608</v>
      </c>
      <c r="E75" s="720" t="s">
        <v>4675</v>
      </c>
      <c r="F75" s="721" t="s">
        <v>4667</v>
      </c>
      <c r="G75" s="720" t="s">
        <v>18</v>
      </c>
      <c r="H75" s="721" t="s">
        <v>4611</v>
      </c>
      <c r="I75" s="721" t="s">
        <v>4611</v>
      </c>
      <c r="J75" s="722">
        <v>14980.477999999999</v>
      </c>
      <c r="K75" s="722">
        <v>53.31</v>
      </c>
      <c r="L75" s="723">
        <f t="shared" si="4"/>
        <v>281.00690302007126</v>
      </c>
      <c r="M75" s="720">
        <v>48</v>
      </c>
      <c r="N75" s="724">
        <f t="shared" si="5"/>
        <v>312.09329166666663</v>
      </c>
      <c r="O75" s="725">
        <f t="shared" ca="1" si="6"/>
        <v>17</v>
      </c>
      <c r="P75" s="723">
        <f t="shared" ca="1" si="7"/>
        <v>9674.892041666666</v>
      </c>
      <c r="Q75" s="720" t="s">
        <v>4612</v>
      </c>
    </row>
    <row r="76" spans="2:17" ht="30" x14ac:dyDescent="0.25">
      <c r="B76" s="719">
        <v>44797</v>
      </c>
      <c r="C76" s="719">
        <v>44797</v>
      </c>
      <c r="D76" s="720" t="s">
        <v>4608</v>
      </c>
      <c r="E76" s="720" t="s">
        <v>4676</v>
      </c>
      <c r="F76" s="721" t="s">
        <v>4667</v>
      </c>
      <c r="G76" s="720" t="s">
        <v>18</v>
      </c>
      <c r="H76" s="721" t="s">
        <v>4611</v>
      </c>
      <c r="I76" s="721" t="s">
        <v>4611</v>
      </c>
      <c r="J76" s="722">
        <v>14980.477999999999</v>
      </c>
      <c r="K76" s="722">
        <v>53.31</v>
      </c>
      <c r="L76" s="723">
        <f t="shared" si="4"/>
        <v>281.00690302007126</v>
      </c>
      <c r="M76" s="720">
        <v>48</v>
      </c>
      <c r="N76" s="724">
        <f t="shared" si="5"/>
        <v>312.09329166666663</v>
      </c>
      <c r="O76" s="725">
        <f t="shared" ca="1" si="6"/>
        <v>17</v>
      </c>
      <c r="P76" s="723">
        <f t="shared" ca="1" si="7"/>
        <v>9674.892041666666</v>
      </c>
      <c r="Q76" s="720" t="s">
        <v>4612</v>
      </c>
    </row>
    <row r="77" spans="2:17" ht="30" x14ac:dyDescent="0.25">
      <c r="B77" s="719">
        <v>44797</v>
      </c>
      <c r="C77" s="719">
        <v>44797</v>
      </c>
      <c r="D77" s="720" t="s">
        <v>4608</v>
      </c>
      <c r="E77" s="720" t="s">
        <v>4677</v>
      </c>
      <c r="F77" s="721" t="s">
        <v>4678</v>
      </c>
      <c r="G77" s="720" t="s">
        <v>18</v>
      </c>
      <c r="H77" s="721" t="s">
        <v>4611</v>
      </c>
      <c r="I77" s="721" t="s">
        <v>4611</v>
      </c>
      <c r="J77" s="722">
        <v>14980.477999999999</v>
      </c>
      <c r="K77" s="722">
        <v>53.31</v>
      </c>
      <c r="L77" s="723">
        <f t="shared" si="4"/>
        <v>281.00690302007126</v>
      </c>
      <c r="M77" s="720">
        <v>48</v>
      </c>
      <c r="N77" s="724">
        <f t="shared" si="5"/>
        <v>312.09329166666663</v>
      </c>
      <c r="O77" s="725">
        <f t="shared" ca="1" si="6"/>
        <v>17</v>
      </c>
      <c r="P77" s="723">
        <f t="shared" ca="1" si="7"/>
        <v>9674.892041666666</v>
      </c>
      <c r="Q77" s="720" t="s">
        <v>4612</v>
      </c>
    </row>
    <row r="78" spans="2:17" ht="30" x14ac:dyDescent="0.25">
      <c r="B78" s="719">
        <v>44797</v>
      </c>
      <c r="C78" s="719">
        <v>44797</v>
      </c>
      <c r="D78" s="720" t="s">
        <v>4608</v>
      </c>
      <c r="E78" s="720" t="s">
        <v>4679</v>
      </c>
      <c r="F78" s="721" t="s">
        <v>4678</v>
      </c>
      <c r="G78" s="720" t="s">
        <v>18</v>
      </c>
      <c r="H78" s="721" t="s">
        <v>4611</v>
      </c>
      <c r="I78" s="721" t="s">
        <v>4611</v>
      </c>
      <c r="J78" s="722">
        <v>14980.477999999999</v>
      </c>
      <c r="K78" s="722">
        <v>53.31</v>
      </c>
      <c r="L78" s="723">
        <f t="shared" si="4"/>
        <v>281.00690302007126</v>
      </c>
      <c r="M78" s="720">
        <v>48</v>
      </c>
      <c r="N78" s="724">
        <f t="shared" si="5"/>
        <v>312.09329166666663</v>
      </c>
      <c r="O78" s="725">
        <f t="shared" ca="1" si="6"/>
        <v>17</v>
      </c>
      <c r="P78" s="723">
        <f t="shared" ca="1" si="7"/>
        <v>9674.892041666666</v>
      </c>
      <c r="Q78" s="720" t="s">
        <v>4612</v>
      </c>
    </row>
    <row r="79" spans="2:17" ht="30" x14ac:dyDescent="0.25">
      <c r="B79" s="719">
        <v>44797</v>
      </c>
      <c r="C79" s="719">
        <v>44797</v>
      </c>
      <c r="D79" s="720" t="s">
        <v>4608</v>
      </c>
      <c r="E79" s="720" t="s">
        <v>4680</v>
      </c>
      <c r="F79" s="721" t="s">
        <v>4678</v>
      </c>
      <c r="G79" s="720" t="s">
        <v>18</v>
      </c>
      <c r="H79" s="721" t="s">
        <v>4611</v>
      </c>
      <c r="I79" s="721" t="s">
        <v>4611</v>
      </c>
      <c r="J79" s="722">
        <v>14980.477999999999</v>
      </c>
      <c r="K79" s="722">
        <v>53.31</v>
      </c>
      <c r="L79" s="723">
        <f t="shared" si="4"/>
        <v>281.00690302007126</v>
      </c>
      <c r="M79" s="720">
        <v>48</v>
      </c>
      <c r="N79" s="724">
        <f t="shared" si="5"/>
        <v>312.09329166666663</v>
      </c>
      <c r="O79" s="725">
        <f t="shared" ca="1" si="6"/>
        <v>17</v>
      </c>
      <c r="P79" s="723">
        <f t="shared" ca="1" si="7"/>
        <v>9674.892041666666</v>
      </c>
      <c r="Q79" s="720" t="s">
        <v>4612</v>
      </c>
    </row>
    <row r="80" spans="2:17" ht="30" x14ac:dyDescent="0.25">
      <c r="B80" s="719">
        <v>44797</v>
      </c>
      <c r="C80" s="719">
        <v>44797</v>
      </c>
      <c r="D80" s="720" t="s">
        <v>4608</v>
      </c>
      <c r="E80" s="720" t="s">
        <v>4681</v>
      </c>
      <c r="F80" s="721" t="s">
        <v>4678</v>
      </c>
      <c r="G80" s="720" t="s">
        <v>18</v>
      </c>
      <c r="H80" s="721" t="s">
        <v>4611</v>
      </c>
      <c r="I80" s="721" t="s">
        <v>4611</v>
      </c>
      <c r="J80" s="722">
        <v>14980.477999999999</v>
      </c>
      <c r="K80" s="722">
        <v>53.31</v>
      </c>
      <c r="L80" s="723">
        <f t="shared" si="4"/>
        <v>281.00690302007126</v>
      </c>
      <c r="M80" s="720">
        <v>48</v>
      </c>
      <c r="N80" s="724">
        <f t="shared" si="5"/>
        <v>312.09329166666663</v>
      </c>
      <c r="O80" s="725">
        <f t="shared" ca="1" si="6"/>
        <v>17</v>
      </c>
      <c r="P80" s="723">
        <f t="shared" ca="1" si="7"/>
        <v>9674.892041666666</v>
      </c>
      <c r="Q80" s="720" t="s">
        <v>4612</v>
      </c>
    </row>
    <row r="81" spans="2:17" ht="30" x14ac:dyDescent="0.25">
      <c r="B81" s="719">
        <v>44797</v>
      </c>
      <c r="C81" s="719">
        <v>44797</v>
      </c>
      <c r="D81" s="720" t="s">
        <v>4608</v>
      </c>
      <c r="E81" s="720" t="s">
        <v>4682</v>
      </c>
      <c r="F81" s="721" t="s">
        <v>4678</v>
      </c>
      <c r="G81" s="720" t="s">
        <v>18</v>
      </c>
      <c r="H81" s="721" t="s">
        <v>4611</v>
      </c>
      <c r="I81" s="721" t="s">
        <v>4611</v>
      </c>
      <c r="J81" s="722">
        <v>14980.477999999999</v>
      </c>
      <c r="K81" s="722">
        <v>53.31</v>
      </c>
      <c r="L81" s="723">
        <f t="shared" si="4"/>
        <v>281.00690302007126</v>
      </c>
      <c r="M81" s="720">
        <v>48</v>
      </c>
      <c r="N81" s="724">
        <f t="shared" si="5"/>
        <v>312.09329166666663</v>
      </c>
      <c r="O81" s="725">
        <f t="shared" ca="1" si="6"/>
        <v>17</v>
      </c>
      <c r="P81" s="723">
        <f t="shared" ca="1" si="7"/>
        <v>9674.892041666666</v>
      </c>
      <c r="Q81" s="720" t="s">
        <v>4612</v>
      </c>
    </row>
    <row r="82" spans="2:17" ht="30" x14ac:dyDescent="0.25">
      <c r="B82" s="719">
        <v>44797</v>
      </c>
      <c r="C82" s="719">
        <v>44797</v>
      </c>
      <c r="D82" s="720" t="s">
        <v>4608</v>
      </c>
      <c r="E82" s="720" t="s">
        <v>4683</v>
      </c>
      <c r="F82" s="721" t="s">
        <v>4678</v>
      </c>
      <c r="G82" s="720" t="s">
        <v>18</v>
      </c>
      <c r="H82" s="721" t="s">
        <v>4611</v>
      </c>
      <c r="I82" s="721" t="s">
        <v>4611</v>
      </c>
      <c r="J82" s="722">
        <v>14980.477999999999</v>
      </c>
      <c r="K82" s="722">
        <v>53.31</v>
      </c>
      <c r="L82" s="723">
        <f t="shared" si="4"/>
        <v>281.00690302007126</v>
      </c>
      <c r="M82" s="720">
        <v>48</v>
      </c>
      <c r="N82" s="724">
        <f t="shared" si="5"/>
        <v>312.09329166666663</v>
      </c>
      <c r="O82" s="725">
        <f t="shared" ca="1" si="6"/>
        <v>17</v>
      </c>
      <c r="P82" s="723">
        <f t="shared" ca="1" si="7"/>
        <v>9674.892041666666</v>
      </c>
      <c r="Q82" s="720" t="s">
        <v>4612</v>
      </c>
    </row>
    <row r="83" spans="2:17" ht="30" x14ac:dyDescent="0.25">
      <c r="B83" s="719">
        <v>44797</v>
      </c>
      <c r="C83" s="719">
        <v>44797</v>
      </c>
      <c r="D83" s="720" t="s">
        <v>4608</v>
      </c>
      <c r="E83" s="720" t="s">
        <v>4684</v>
      </c>
      <c r="F83" s="721" t="s">
        <v>4678</v>
      </c>
      <c r="G83" s="720" t="s">
        <v>18</v>
      </c>
      <c r="H83" s="721" t="s">
        <v>4611</v>
      </c>
      <c r="I83" s="721" t="s">
        <v>4611</v>
      </c>
      <c r="J83" s="722">
        <v>14980.477999999999</v>
      </c>
      <c r="K83" s="722">
        <v>53.31</v>
      </c>
      <c r="L83" s="723">
        <f t="shared" si="4"/>
        <v>281.00690302007126</v>
      </c>
      <c r="M83" s="720">
        <v>48</v>
      </c>
      <c r="N83" s="724">
        <f t="shared" si="5"/>
        <v>312.09329166666663</v>
      </c>
      <c r="O83" s="725">
        <f t="shared" ca="1" si="6"/>
        <v>17</v>
      </c>
      <c r="P83" s="723">
        <f t="shared" ca="1" si="7"/>
        <v>9674.892041666666</v>
      </c>
      <c r="Q83" s="720" t="s">
        <v>4612</v>
      </c>
    </row>
    <row r="84" spans="2:17" ht="30" x14ac:dyDescent="0.25">
      <c r="B84" s="719">
        <v>44797</v>
      </c>
      <c r="C84" s="719">
        <v>44797</v>
      </c>
      <c r="D84" s="720" t="s">
        <v>4608</v>
      </c>
      <c r="E84" s="720" t="s">
        <v>4685</v>
      </c>
      <c r="F84" s="721" t="s">
        <v>4678</v>
      </c>
      <c r="G84" s="720" t="s">
        <v>18</v>
      </c>
      <c r="H84" s="721" t="s">
        <v>4611</v>
      </c>
      <c r="I84" s="721" t="s">
        <v>4611</v>
      </c>
      <c r="J84" s="722">
        <v>14980.477999999999</v>
      </c>
      <c r="K84" s="722">
        <v>53.31</v>
      </c>
      <c r="L84" s="723">
        <f t="shared" si="4"/>
        <v>281.00690302007126</v>
      </c>
      <c r="M84" s="720">
        <v>48</v>
      </c>
      <c r="N84" s="724">
        <f t="shared" si="5"/>
        <v>312.09329166666663</v>
      </c>
      <c r="O84" s="725">
        <f t="shared" ca="1" si="6"/>
        <v>17</v>
      </c>
      <c r="P84" s="723">
        <f t="shared" ca="1" si="7"/>
        <v>9674.892041666666</v>
      </c>
      <c r="Q84" s="720" t="s">
        <v>4612</v>
      </c>
    </row>
    <row r="85" spans="2:17" ht="30" x14ac:dyDescent="0.25">
      <c r="B85" s="719">
        <v>44797</v>
      </c>
      <c r="C85" s="719">
        <v>44797</v>
      </c>
      <c r="D85" s="720" t="s">
        <v>4608</v>
      </c>
      <c r="E85" s="720" t="s">
        <v>4686</v>
      </c>
      <c r="F85" s="721" t="s">
        <v>4678</v>
      </c>
      <c r="G85" s="720" t="s">
        <v>18</v>
      </c>
      <c r="H85" s="721" t="s">
        <v>4611</v>
      </c>
      <c r="I85" s="721" t="s">
        <v>4611</v>
      </c>
      <c r="J85" s="722">
        <v>14980.477999999999</v>
      </c>
      <c r="K85" s="722">
        <v>53.31</v>
      </c>
      <c r="L85" s="723">
        <f t="shared" si="4"/>
        <v>281.00690302007126</v>
      </c>
      <c r="M85" s="720">
        <v>48</v>
      </c>
      <c r="N85" s="724">
        <f t="shared" si="5"/>
        <v>312.09329166666663</v>
      </c>
      <c r="O85" s="725">
        <f t="shared" ca="1" si="6"/>
        <v>17</v>
      </c>
      <c r="P85" s="723">
        <f t="shared" ca="1" si="7"/>
        <v>9674.892041666666</v>
      </c>
      <c r="Q85" s="720" t="s">
        <v>4612</v>
      </c>
    </row>
    <row r="86" spans="2:17" ht="30" x14ac:dyDescent="0.25">
      <c r="B86" s="719">
        <v>44797</v>
      </c>
      <c r="C86" s="719">
        <v>44797</v>
      </c>
      <c r="D86" s="720" t="s">
        <v>4608</v>
      </c>
      <c r="E86" s="720" t="s">
        <v>4687</v>
      </c>
      <c r="F86" s="721" t="s">
        <v>4678</v>
      </c>
      <c r="G86" s="720" t="s">
        <v>18</v>
      </c>
      <c r="H86" s="721" t="s">
        <v>4611</v>
      </c>
      <c r="I86" s="721" t="s">
        <v>4611</v>
      </c>
      <c r="J86" s="722">
        <v>14980.477999999999</v>
      </c>
      <c r="K86" s="722">
        <v>53.31</v>
      </c>
      <c r="L86" s="723">
        <f t="shared" si="4"/>
        <v>281.00690302007126</v>
      </c>
      <c r="M86" s="720">
        <v>48</v>
      </c>
      <c r="N86" s="724">
        <f t="shared" si="5"/>
        <v>312.09329166666663</v>
      </c>
      <c r="O86" s="725">
        <f t="shared" ca="1" si="6"/>
        <v>17</v>
      </c>
      <c r="P86" s="723">
        <f t="shared" ca="1" si="7"/>
        <v>9674.892041666666</v>
      </c>
      <c r="Q86" s="720" t="s">
        <v>4612</v>
      </c>
    </row>
    <row r="87" spans="2:17" ht="30" x14ac:dyDescent="0.25">
      <c r="B87" s="719">
        <v>44797</v>
      </c>
      <c r="C87" s="719">
        <v>44797</v>
      </c>
      <c r="D87" s="720" t="s">
        <v>4608</v>
      </c>
      <c r="E87" s="720" t="s">
        <v>4688</v>
      </c>
      <c r="F87" s="721" t="s">
        <v>4689</v>
      </c>
      <c r="G87" s="720" t="s">
        <v>18</v>
      </c>
      <c r="H87" s="721" t="s">
        <v>4611</v>
      </c>
      <c r="I87" s="721" t="s">
        <v>4611</v>
      </c>
      <c r="J87" s="722">
        <v>25084.44</v>
      </c>
      <c r="K87" s="722">
        <v>53.31</v>
      </c>
      <c r="L87" s="723">
        <f t="shared" si="4"/>
        <v>470.53911086100163</v>
      </c>
      <c r="M87" s="720">
        <v>48</v>
      </c>
      <c r="N87" s="724">
        <f t="shared" si="5"/>
        <v>522.59249999999997</v>
      </c>
      <c r="O87" s="725">
        <f t="shared" ca="1" si="6"/>
        <v>17</v>
      </c>
      <c r="P87" s="723">
        <f t="shared" ca="1" si="7"/>
        <v>16200.367499999998</v>
      </c>
      <c r="Q87" s="720" t="s">
        <v>4612</v>
      </c>
    </row>
    <row r="88" spans="2:17" ht="30" x14ac:dyDescent="0.25">
      <c r="B88" s="719">
        <v>44797</v>
      </c>
      <c r="C88" s="719">
        <v>44797</v>
      </c>
      <c r="D88" s="720" t="s">
        <v>4608</v>
      </c>
      <c r="E88" s="720" t="s">
        <v>4690</v>
      </c>
      <c r="F88" s="721" t="s">
        <v>4689</v>
      </c>
      <c r="G88" s="720" t="s">
        <v>18</v>
      </c>
      <c r="H88" s="721" t="s">
        <v>4611</v>
      </c>
      <c r="I88" s="721" t="s">
        <v>4611</v>
      </c>
      <c r="J88" s="722">
        <v>25084.44</v>
      </c>
      <c r="K88" s="722">
        <v>53.31</v>
      </c>
      <c r="L88" s="723">
        <f t="shared" si="4"/>
        <v>470.53911086100163</v>
      </c>
      <c r="M88" s="720">
        <v>48</v>
      </c>
      <c r="N88" s="724">
        <f t="shared" si="5"/>
        <v>522.59249999999997</v>
      </c>
      <c r="O88" s="725">
        <f t="shared" ca="1" si="6"/>
        <v>17</v>
      </c>
      <c r="P88" s="723">
        <f t="shared" ca="1" si="7"/>
        <v>16200.367499999998</v>
      </c>
      <c r="Q88" s="720" t="s">
        <v>4612</v>
      </c>
    </row>
    <row r="89" spans="2:17" ht="30" x14ac:dyDescent="0.25">
      <c r="B89" s="719">
        <v>44797</v>
      </c>
      <c r="C89" s="719">
        <v>44797</v>
      </c>
      <c r="D89" s="720" t="s">
        <v>4608</v>
      </c>
      <c r="E89" s="720" t="s">
        <v>4691</v>
      </c>
      <c r="F89" s="721" t="s">
        <v>4692</v>
      </c>
      <c r="G89" s="720" t="s">
        <v>18</v>
      </c>
      <c r="H89" s="721" t="s">
        <v>4611</v>
      </c>
      <c r="I89" s="721" t="s">
        <v>4611</v>
      </c>
      <c r="J89" s="722">
        <v>10997.9</v>
      </c>
      <c r="K89" s="722">
        <v>53.31</v>
      </c>
      <c r="L89" s="723">
        <f t="shared" si="4"/>
        <v>206.3008816357156</v>
      </c>
      <c r="M89" s="720">
        <v>48</v>
      </c>
      <c r="N89" s="724">
        <f t="shared" si="5"/>
        <v>229.12291666666667</v>
      </c>
      <c r="O89" s="725">
        <f t="shared" ca="1" si="6"/>
        <v>17</v>
      </c>
      <c r="P89" s="723">
        <f t="shared" ca="1" si="7"/>
        <v>7102.8104166666662</v>
      </c>
      <c r="Q89" s="720" t="s">
        <v>4612</v>
      </c>
    </row>
    <row r="90" spans="2:17" ht="96.75" customHeight="1" x14ac:dyDescent="0.25">
      <c r="B90" s="719">
        <v>44862</v>
      </c>
      <c r="C90" s="719">
        <v>44862</v>
      </c>
      <c r="D90" s="720" t="s">
        <v>4693</v>
      </c>
      <c r="E90" s="721" t="s">
        <v>4694</v>
      </c>
      <c r="F90" s="726" t="s">
        <v>4695</v>
      </c>
      <c r="G90" s="721" t="s">
        <v>4696</v>
      </c>
      <c r="H90" s="721" t="s">
        <v>4611</v>
      </c>
      <c r="I90" s="721" t="s">
        <v>4611</v>
      </c>
      <c r="J90" s="722">
        <v>11253429.800000001</v>
      </c>
      <c r="K90" s="722">
        <v>57.25</v>
      </c>
      <c r="L90" s="723">
        <f t="shared" si="4"/>
        <v>196566.4593886463</v>
      </c>
      <c r="M90" s="720">
        <v>60</v>
      </c>
      <c r="N90" s="724">
        <f t="shared" si="5"/>
        <v>187557.16333333336</v>
      </c>
      <c r="O90" s="725">
        <f t="shared" ca="1" si="6"/>
        <v>15</v>
      </c>
      <c r="P90" s="723">
        <f t="shared" ca="1" si="7"/>
        <v>8440072.3500000015</v>
      </c>
      <c r="Q90" s="721" t="s">
        <v>4697</v>
      </c>
    </row>
    <row r="91" spans="2:17" ht="45" customHeight="1" x14ac:dyDescent="0.25">
      <c r="B91" s="719">
        <v>44883</v>
      </c>
      <c r="C91" s="719">
        <v>44883</v>
      </c>
      <c r="D91" s="720" t="s">
        <v>4698</v>
      </c>
      <c r="E91" s="720" t="s">
        <v>18</v>
      </c>
      <c r="F91" s="721" t="s">
        <v>4699</v>
      </c>
      <c r="G91" s="720" t="s">
        <v>18</v>
      </c>
      <c r="H91" s="721" t="s">
        <v>4611</v>
      </c>
      <c r="I91" s="721" t="s">
        <v>4611</v>
      </c>
      <c r="J91" s="722">
        <v>22551.78</v>
      </c>
      <c r="K91" s="722">
        <v>54.369</v>
      </c>
      <c r="L91" s="723">
        <f t="shared" si="4"/>
        <v>414.79114936820611</v>
      </c>
      <c r="M91" s="720">
        <v>48</v>
      </c>
      <c r="N91" s="724">
        <f t="shared" si="5"/>
        <v>469.82874999999996</v>
      </c>
      <c r="O91" s="725">
        <f t="shared" ca="1" si="6"/>
        <v>14</v>
      </c>
      <c r="P91" s="723">
        <f t="shared" ca="1" si="7"/>
        <v>15974.1775</v>
      </c>
      <c r="Q91" s="721" t="s">
        <v>4697</v>
      </c>
    </row>
    <row r="92" spans="2:17" ht="30" x14ac:dyDescent="0.25">
      <c r="B92" s="719">
        <v>44889</v>
      </c>
      <c r="C92" s="719">
        <v>44889</v>
      </c>
      <c r="D92" s="720" t="s">
        <v>4700</v>
      </c>
      <c r="E92" s="639" t="s">
        <v>4701</v>
      </c>
      <c r="F92" s="721" t="s">
        <v>4702</v>
      </c>
      <c r="G92" s="720" t="s">
        <v>4703</v>
      </c>
      <c r="H92" s="721" t="s">
        <v>3880</v>
      </c>
      <c r="I92" s="720" t="s">
        <v>4704</v>
      </c>
      <c r="J92" s="722">
        <v>21823.26</v>
      </c>
      <c r="K92" s="722">
        <v>54.38</v>
      </c>
      <c r="L92" s="723">
        <f t="shared" si="4"/>
        <v>401.31040823832285</v>
      </c>
      <c r="M92" s="720">
        <v>60</v>
      </c>
      <c r="N92" s="724">
        <f t="shared" si="5"/>
        <v>363.72099999999995</v>
      </c>
      <c r="O92" s="725">
        <f t="shared" ca="1" si="6"/>
        <v>14</v>
      </c>
      <c r="P92" s="723">
        <f t="shared" ca="1" si="7"/>
        <v>16731.165999999997</v>
      </c>
      <c r="Q92" s="720" t="s">
        <v>4705</v>
      </c>
    </row>
    <row r="93" spans="2:17" ht="30" x14ac:dyDescent="0.25">
      <c r="B93" s="719">
        <v>44889</v>
      </c>
      <c r="C93" s="719">
        <v>44889</v>
      </c>
      <c r="D93" s="720" t="s">
        <v>4700</v>
      </c>
      <c r="E93" s="639" t="s">
        <v>4706</v>
      </c>
      <c r="F93" s="721" t="s">
        <v>4702</v>
      </c>
      <c r="G93" s="720" t="s">
        <v>4707</v>
      </c>
      <c r="H93" s="721" t="s">
        <v>3880</v>
      </c>
      <c r="I93" s="720" t="s">
        <v>4704</v>
      </c>
      <c r="J93" s="722">
        <v>21823</v>
      </c>
      <c r="K93" s="722">
        <v>54.38</v>
      </c>
      <c r="L93" s="723">
        <f t="shared" si="4"/>
        <v>401.30562706877527</v>
      </c>
      <c r="M93" s="720">
        <v>60</v>
      </c>
      <c r="N93" s="724">
        <f t="shared" si="5"/>
        <v>363.71666666666664</v>
      </c>
      <c r="O93" s="725">
        <f t="shared" ca="1" si="6"/>
        <v>14</v>
      </c>
      <c r="P93" s="723">
        <f t="shared" ca="1" si="7"/>
        <v>16730.966666666667</v>
      </c>
      <c r="Q93" s="720" t="s">
        <v>4705</v>
      </c>
    </row>
    <row r="94" spans="2:17" ht="30" x14ac:dyDescent="0.25">
      <c r="B94" s="719">
        <v>44889</v>
      </c>
      <c r="C94" s="719">
        <v>44889</v>
      </c>
      <c r="D94" s="720" t="s">
        <v>4700</v>
      </c>
      <c r="E94" s="639" t="s">
        <v>4708</v>
      </c>
      <c r="F94" s="721" t="s">
        <v>4702</v>
      </c>
      <c r="G94" s="720" t="s">
        <v>4709</v>
      </c>
      <c r="H94" s="721" t="s">
        <v>3880</v>
      </c>
      <c r="I94" s="720" t="s">
        <v>4704</v>
      </c>
      <c r="J94" s="722">
        <v>21823</v>
      </c>
      <c r="K94" s="722">
        <v>54.38</v>
      </c>
      <c r="L94" s="723">
        <f t="shared" si="4"/>
        <v>401.30562706877527</v>
      </c>
      <c r="M94" s="720">
        <v>60</v>
      </c>
      <c r="N94" s="724">
        <f t="shared" si="5"/>
        <v>363.71666666666664</v>
      </c>
      <c r="O94" s="725">
        <f t="shared" ca="1" si="6"/>
        <v>14</v>
      </c>
      <c r="P94" s="723">
        <f t="shared" ca="1" si="7"/>
        <v>16730.966666666667</v>
      </c>
      <c r="Q94" s="720" t="s">
        <v>4705</v>
      </c>
    </row>
    <row r="95" spans="2:17" ht="30" x14ac:dyDescent="0.25">
      <c r="B95" s="719">
        <v>44889</v>
      </c>
      <c r="C95" s="719">
        <v>44889</v>
      </c>
      <c r="D95" s="720" t="s">
        <v>4700</v>
      </c>
      <c r="E95" s="639" t="s">
        <v>4710</v>
      </c>
      <c r="F95" s="721" t="s">
        <v>4702</v>
      </c>
      <c r="G95" s="720" t="s">
        <v>4711</v>
      </c>
      <c r="H95" s="721" t="s">
        <v>3880</v>
      </c>
      <c r="I95" s="720" t="s">
        <v>4704</v>
      </c>
      <c r="J95" s="722">
        <v>21823</v>
      </c>
      <c r="K95" s="722">
        <v>54.38</v>
      </c>
      <c r="L95" s="723">
        <f t="shared" si="4"/>
        <v>401.30562706877527</v>
      </c>
      <c r="M95" s="720">
        <v>60</v>
      </c>
      <c r="N95" s="724">
        <f t="shared" si="5"/>
        <v>363.71666666666664</v>
      </c>
      <c r="O95" s="725">
        <f t="shared" ca="1" si="6"/>
        <v>14</v>
      </c>
      <c r="P95" s="723">
        <f t="shared" ca="1" si="7"/>
        <v>16730.966666666667</v>
      </c>
      <c r="Q95" s="720" t="s">
        <v>4705</v>
      </c>
    </row>
    <row r="96" spans="2:17" ht="30" x14ac:dyDescent="0.25">
      <c r="B96" s="719">
        <v>44889</v>
      </c>
      <c r="C96" s="719">
        <v>44889</v>
      </c>
      <c r="D96" s="720" t="s">
        <v>4700</v>
      </c>
      <c r="E96" s="639" t="s">
        <v>4712</v>
      </c>
      <c r="F96" s="721" t="s">
        <v>4702</v>
      </c>
      <c r="G96" s="720" t="s">
        <v>4713</v>
      </c>
      <c r="H96" s="721" t="s">
        <v>3880</v>
      </c>
      <c r="I96" s="720" t="s">
        <v>4704</v>
      </c>
      <c r="J96" s="722">
        <v>21823</v>
      </c>
      <c r="K96" s="722">
        <v>54.38</v>
      </c>
      <c r="L96" s="723">
        <f t="shared" si="4"/>
        <v>401.30562706877527</v>
      </c>
      <c r="M96" s="720">
        <v>60</v>
      </c>
      <c r="N96" s="724">
        <f t="shared" si="5"/>
        <v>363.71666666666664</v>
      </c>
      <c r="O96" s="725">
        <f t="shared" ca="1" si="6"/>
        <v>14</v>
      </c>
      <c r="P96" s="723">
        <f t="shared" ca="1" si="7"/>
        <v>16730.966666666667</v>
      </c>
      <c r="Q96" s="720" t="s">
        <v>4705</v>
      </c>
    </row>
    <row r="97" spans="2:17" ht="30" x14ac:dyDescent="0.25">
      <c r="B97" s="719">
        <v>44889</v>
      </c>
      <c r="C97" s="719">
        <v>44889</v>
      </c>
      <c r="D97" s="720" t="s">
        <v>4700</v>
      </c>
      <c r="E97" s="639" t="s">
        <v>4714</v>
      </c>
      <c r="F97" s="721" t="s">
        <v>4702</v>
      </c>
      <c r="G97" s="720" t="s">
        <v>4715</v>
      </c>
      <c r="H97" s="721" t="s">
        <v>3880</v>
      </c>
      <c r="I97" s="720" t="s">
        <v>4704</v>
      </c>
      <c r="J97" s="722">
        <v>21823</v>
      </c>
      <c r="K97" s="722">
        <v>54.38</v>
      </c>
      <c r="L97" s="723">
        <f t="shared" si="4"/>
        <v>401.30562706877527</v>
      </c>
      <c r="M97" s="720">
        <v>60</v>
      </c>
      <c r="N97" s="724">
        <f t="shared" si="5"/>
        <v>363.71666666666664</v>
      </c>
      <c r="O97" s="725">
        <f t="shared" ca="1" si="6"/>
        <v>14</v>
      </c>
      <c r="P97" s="723">
        <f t="shared" ca="1" si="7"/>
        <v>16730.966666666667</v>
      </c>
      <c r="Q97" s="720" t="s">
        <v>4705</v>
      </c>
    </row>
    <row r="98" spans="2:17" ht="30" x14ac:dyDescent="0.25">
      <c r="B98" s="719">
        <v>44889</v>
      </c>
      <c r="C98" s="719">
        <v>44889</v>
      </c>
      <c r="D98" s="720" t="s">
        <v>4700</v>
      </c>
      <c r="E98" s="639" t="s">
        <v>4716</v>
      </c>
      <c r="F98" s="721" t="s">
        <v>4702</v>
      </c>
      <c r="G98" s="720" t="s">
        <v>4717</v>
      </c>
      <c r="H98" s="721" t="s">
        <v>3880</v>
      </c>
      <c r="I98" s="720" t="s">
        <v>4704</v>
      </c>
      <c r="J98" s="722">
        <v>21823</v>
      </c>
      <c r="K98" s="722">
        <v>54.38</v>
      </c>
      <c r="L98" s="723">
        <f t="shared" si="4"/>
        <v>401.30562706877527</v>
      </c>
      <c r="M98" s="720">
        <v>60</v>
      </c>
      <c r="N98" s="724">
        <f t="shared" si="5"/>
        <v>363.71666666666664</v>
      </c>
      <c r="O98" s="725">
        <f t="shared" ca="1" si="6"/>
        <v>14</v>
      </c>
      <c r="P98" s="723">
        <f t="shared" ca="1" si="7"/>
        <v>16730.966666666667</v>
      </c>
      <c r="Q98" s="720" t="s">
        <v>4705</v>
      </c>
    </row>
    <row r="99" spans="2:17" ht="30" x14ac:dyDescent="0.25">
      <c r="B99" s="719">
        <v>44889</v>
      </c>
      <c r="C99" s="719">
        <v>44889</v>
      </c>
      <c r="D99" s="720" t="s">
        <v>4700</v>
      </c>
      <c r="E99" s="639" t="s">
        <v>4718</v>
      </c>
      <c r="F99" s="721" t="s">
        <v>4702</v>
      </c>
      <c r="G99" s="720" t="s">
        <v>4719</v>
      </c>
      <c r="H99" s="721" t="s">
        <v>3880</v>
      </c>
      <c r="I99" s="720" t="s">
        <v>4704</v>
      </c>
      <c r="J99" s="722">
        <v>21823</v>
      </c>
      <c r="K99" s="722">
        <v>54.38</v>
      </c>
      <c r="L99" s="723">
        <f t="shared" si="4"/>
        <v>401.30562706877527</v>
      </c>
      <c r="M99" s="720">
        <v>60</v>
      </c>
      <c r="N99" s="724">
        <f t="shared" si="5"/>
        <v>363.71666666666664</v>
      </c>
      <c r="O99" s="725">
        <f t="shared" ca="1" si="6"/>
        <v>14</v>
      </c>
      <c r="P99" s="723">
        <f t="shared" ca="1" si="7"/>
        <v>16730.966666666667</v>
      </c>
      <c r="Q99" s="720" t="s">
        <v>4705</v>
      </c>
    </row>
    <row r="100" spans="2:17" ht="30" x14ac:dyDescent="0.25">
      <c r="B100" s="719">
        <v>44889</v>
      </c>
      <c r="C100" s="719">
        <v>44889</v>
      </c>
      <c r="D100" s="720" t="s">
        <v>4700</v>
      </c>
      <c r="E100" s="639" t="s">
        <v>4720</v>
      </c>
      <c r="F100" s="721" t="s">
        <v>4702</v>
      </c>
      <c r="G100" s="720" t="s">
        <v>4721</v>
      </c>
      <c r="H100" s="721" t="s">
        <v>3880</v>
      </c>
      <c r="I100" s="720" t="s">
        <v>4704</v>
      </c>
      <c r="J100" s="722">
        <v>21823</v>
      </c>
      <c r="K100" s="722">
        <v>54.38</v>
      </c>
      <c r="L100" s="723">
        <f t="shared" si="4"/>
        <v>401.30562706877527</v>
      </c>
      <c r="M100" s="720">
        <v>60</v>
      </c>
      <c r="N100" s="724">
        <f t="shared" si="5"/>
        <v>363.71666666666664</v>
      </c>
      <c r="O100" s="725">
        <f t="shared" ca="1" si="6"/>
        <v>14</v>
      </c>
      <c r="P100" s="723">
        <f t="shared" ca="1" si="7"/>
        <v>16730.966666666667</v>
      </c>
      <c r="Q100" s="720" t="s">
        <v>4705</v>
      </c>
    </row>
    <row r="101" spans="2:17" ht="30" x14ac:dyDescent="0.25">
      <c r="B101" s="719">
        <v>44889</v>
      </c>
      <c r="C101" s="719">
        <v>44889</v>
      </c>
      <c r="D101" s="720" t="s">
        <v>4700</v>
      </c>
      <c r="E101" s="639" t="s">
        <v>4722</v>
      </c>
      <c r="F101" s="721" t="s">
        <v>4702</v>
      </c>
      <c r="G101" s="720" t="s">
        <v>4723</v>
      </c>
      <c r="H101" s="721" t="s">
        <v>3880</v>
      </c>
      <c r="I101" s="720" t="s">
        <v>4704</v>
      </c>
      <c r="J101" s="722">
        <v>21823</v>
      </c>
      <c r="K101" s="722">
        <v>54.38</v>
      </c>
      <c r="L101" s="723">
        <f t="shared" si="4"/>
        <v>401.30562706877527</v>
      </c>
      <c r="M101" s="720">
        <v>60</v>
      </c>
      <c r="N101" s="724">
        <f t="shared" si="5"/>
        <v>363.71666666666664</v>
      </c>
      <c r="O101" s="725">
        <f t="shared" ca="1" si="6"/>
        <v>14</v>
      </c>
      <c r="P101" s="723">
        <f t="shared" ca="1" si="7"/>
        <v>16730.966666666667</v>
      </c>
      <c r="Q101" s="720" t="s">
        <v>4705</v>
      </c>
    </row>
    <row r="102" spans="2:17" ht="30" x14ac:dyDescent="0.25">
      <c r="B102" s="719">
        <v>44889</v>
      </c>
      <c r="C102" s="719">
        <v>44889</v>
      </c>
      <c r="D102" s="720" t="s">
        <v>4700</v>
      </c>
      <c r="E102" s="639" t="s">
        <v>4724</v>
      </c>
      <c r="F102" s="721" t="s">
        <v>4702</v>
      </c>
      <c r="G102" s="720" t="s">
        <v>4721</v>
      </c>
      <c r="H102" s="721" t="s">
        <v>3880</v>
      </c>
      <c r="I102" s="720" t="s">
        <v>4704</v>
      </c>
      <c r="J102" s="722">
        <v>21823</v>
      </c>
      <c r="K102" s="722">
        <v>54.38</v>
      </c>
      <c r="L102" s="723">
        <f t="shared" si="4"/>
        <v>401.30562706877527</v>
      </c>
      <c r="M102" s="720">
        <v>60</v>
      </c>
      <c r="N102" s="724">
        <f t="shared" si="5"/>
        <v>363.71666666666664</v>
      </c>
      <c r="O102" s="725">
        <f t="shared" ca="1" si="6"/>
        <v>14</v>
      </c>
      <c r="P102" s="723">
        <f t="shared" ca="1" si="7"/>
        <v>16730.966666666667</v>
      </c>
      <c r="Q102" s="720" t="s">
        <v>4705</v>
      </c>
    </row>
    <row r="103" spans="2:17" ht="30" x14ac:dyDescent="0.25">
      <c r="B103" s="719">
        <v>44889</v>
      </c>
      <c r="C103" s="719">
        <v>44889</v>
      </c>
      <c r="D103" s="720" t="s">
        <v>4700</v>
      </c>
      <c r="E103" s="639" t="s">
        <v>4725</v>
      </c>
      <c r="F103" s="721" t="s">
        <v>4702</v>
      </c>
      <c r="G103" s="720" t="s">
        <v>4726</v>
      </c>
      <c r="H103" s="721" t="s">
        <v>3880</v>
      </c>
      <c r="I103" s="720" t="s">
        <v>4704</v>
      </c>
      <c r="J103" s="722">
        <v>21823</v>
      </c>
      <c r="K103" s="722">
        <v>54.38</v>
      </c>
      <c r="L103" s="723">
        <f t="shared" si="4"/>
        <v>401.30562706877527</v>
      </c>
      <c r="M103" s="720">
        <v>60</v>
      </c>
      <c r="N103" s="724">
        <f t="shared" si="5"/>
        <v>363.71666666666664</v>
      </c>
      <c r="O103" s="725">
        <f t="shared" ca="1" si="6"/>
        <v>14</v>
      </c>
      <c r="P103" s="723">
        <f t="shared" ca="1" si="7"/>
        <v>16730.966666666667</v>
      </c>
      <c r="Q103" s="720" t="s">
        <v>4705</v>
      </c>
    </row>
    <row r="104" spans="2:17" ht="30" x14ac:dyDescent="0.25">
      <c r="B104" s="719">
        <v>44889</v>
      </c>
      <c r="C104" s="719">
        <v>44889</v>
      </c>
      <c r="D104" s="720" t="s">
        <v>4700</v>
      </c>
      <c r="E104" s="639" t="s">
        <v>4727</v>
      </c>
      <c r="F104" s="721" t="s">
        <v>4702</v>
      </c>
      <c r="G104" s="720" t="s">
        <v>4728</v>
      </c>
      <c r="H104" s="721" t="s">
        <v>3880</v>
      </c>
      <c r="I104" s="720" t="s">
        <v>4704</v>
      </c>
      <c r="J104" s="722">
        <v>21823</v>
      </c>
      <c r="K104" s="722">
        <v>54.38</v>
      </c>
      <c r="L104" s="723">
        <f t="shared" si="4"/>
        <v>401.30562706877527</v>
      </c>
      <c r="M104" s="720">
        <v>60</v>
      </c>
      <c r="N104" s="724">
        <f t="shared" si="5"/>
        <v>363.71666666666664</v>
      </c>
      <c r="O104" s="725">
        <f t="shared" ca="1" si="6"/>
        <v>14</v>
      </c>
      <c r="P104" s="723">
        <f t="shared" ca="1" si="7"/>
        <v>16730.966666666667</v>
      </c>
      <c r="Q104" s="720" t="s">
        <v>4705</v>
      </c>
    </row>
    <row r="105" spans="2:17" ht="30" x14ac:dyDescent="0.25">
      <c r="B105" s="719">
        <v>44889</v>
      </c>
      <c r="C105" s="719">
        <v>44889</v>
      </c>
      <c r="D105" s="720" t="s">
        <v>4700</v>
      </c>
      <c r="E105" s="639" t="s">
        <v>4729</v>
      </c>
      <c r="F105" s="721" t="s">
        <v>4702</v>
      </c>
      <c r="G105" s="720" t="s">
        <v>4730</v>
      </c>
      <c r="H105" s="721" t="s">
        <v>3880</v>
      </c>
      <c r="I105" s="720" t="s">
        <v>4704</v>
      </c>
      <c r="J105" s="722">
        <v>21823</v>
      </c>
      <c r="K105" s="722">
        <v>54.38</v>
      </c>
      <c r="L105" s="723">
        <f t="shared" si="4"/>
        <v>401.30562706877527</v>
      </c>
      <c r="M105" s="720">
        <v>60</v>
      </c>
      <c r="N105" s="724">
        <f t="shared" si="5"/>
        <v>363.71666666666664</v>
      </c>
      <c r="O105" s="725">
        <f t="shared" ca="1" si="6"/>
        <v>14</v>
      </c>
      <c r="P105" s="723">
        <f t="shared" ca="1" si="7"/>
        <v>16730.966666666667</v>
      </c>
      <c r="Q105" s="720" t="s">
        <v>4705</v>
      </c>
    </row>
    <row r="106" spans="2:17" ht="30" x14ac:dyDescent="0.25">
      <c r="B106" s="719">
        <v>44889</v>
      </c>
      <c r="C106" s="719">
        <v>44889</v>
      </c>
      <c r="D106" s="720" t="s">
        <v>4700</v>
      </c>
      <c r="E106" s="639" t="s">
        <v>4731</v>
      </c>
      <c r="F106" s="721" t="s">
        <v>4702</v>
      </c>
      <c r="G106" s="720" t="s">
        <v>4732</v>
      </c>
      <c r="H106" s="721" t="s">
        <v>3880</v>
      </c>
      <c r="I106" s="720" t="s">
        <v>4704</v>
      </c>
      <c r="J106" s="722">
        <v>21823</v>
      </c>
      <c r="K106" s="722">
        <v>54.38</v>
      </c>
      <c r="L106" s="723">
        <f t="shared" si="4"/>
        <v>401.30562706877527</v>
      </c>
      <c r="M106" s="720">
        <v>60</v>
      </c>
      <c r="N106" s="724">
        <f t="shared" si="5"/>
        <v>363.71666666666664</v>
      </c>
      <c r="O106" s="725">
        <f t="shared" ca="1" si="6"/>
        <v>14</v>
      </c>
      <c r="P106" s="723">
        <f t="shared" ca="1" si="7"/>
        <v>16730.966666666667</v>
      </c>
      <c r="Q106" s="720" t="s">
        <v>4705</v>
      </c>
    </row>
    <row r="107" spans="2:17" ht="30" x14ac:dyDescent="0.25">
      <c r="B107" s="719">
        <v>44889</v>
      </c>
      <c r="C107" s="719">
        <v>44889</v>
      </c>
      <c r="D107" s="720" t="s">
        <v>4700</v>
      </c>
      <c r="E107" s="639" t="s">
        <v>4733</v>
      </c>
      <c r="F107" s="721" t="s">
        <v>4702</v>
      </c>
      <c r="G107" s="720" t="s">
        <v>4734</v>
      </c>
      <c r="H107" s="721" t="s">
        <v>3880</v>
      </c>
      <c r="I107" s="720" t="s">
        <v>4704</v>
      </c>
      <c r="J107" s="722">
        <v>21823</v>
      </c>
      <c r="K107" s="722">
        <v>54.38</v>
      </c>
      <c r="L107" s="723">
        <f t="shared" si="4"/>
        <v>401.30562706877527</v>
      </c>
      <c r="M107" s="720">
        <v>60</v>
      </c>
      <c r="N107" s="724">
        <f t="shared" si="5"/>
        <v>363.71666666666664</v>
      </c>
      <c r="O107" s="725">
        <f t="shared" ca="1" si="6"/>
        <v>14</v>
      </c>
      <c r="P107" s="723">
        <f t="shared" ca="1" si="7"/>
        <v>16730.966666666667</v>
      </c>
      <c r="Q107" s="720" t="s">
        <v>4705</v>
      </c>
    </row>
    <row r="108" spans="2:17" ht="30" x14ac:dyDescent="0.25">
      <c r="B108" s="719">
        <v>44889</v>
      </c>
      <c r="C108" s="719">
        <v>44889</v>
      </c>
      <c r="D108" s="720" t="s">
        <v>4700</v>
      </c>
      <c r="E108" s="639" t="s">
        <v>4735</v>
      </c>
      <c r="F108" s="721" t="s">
        <v>4702</v>
      </c>
      <c r="G108" s="720" t="s">
        <v>4736</v>
      </c>
      <c r="H108" s="721" t="s">
        <v>3880</v>
      </c>
      <c r="I108" s="720" t="s">
        <v>4704</v>
      </c>
      <c r="J108" s="722">
        <v>21823</v>
      </c>
      <c r="K108" s="722">
        <v>54.38</v>
      </c>
      <c r="L108" s="723">
        <f t="shared" si="4"/>
        <v>401.30562706877527</v>
      </c>
      <c r="M108" s="720">
        <v>60</v>
      </c>
      <c r="N108" s="724">
        <f t="shared" si="5"/>
        <v>363.71666666666664</v>
      </c>
      <c r="O108" s="725">
        <f t="shared" ca="1" si="6"/>
        <v>14</v>
      </c>
      <c r="P108" s="723">
        <f t="shared" ca="1" si="7"/>
        <v>16730.966666666667</v>
      </c>
      <c r="Q108" s="720" t="s">
        <v>4705</v>
      </c>
    </row>
    <row r="109" spans="2:17" ht="30" x14ac:dyDescent="0.25">
      <c r="B109" s="719">
        <v>44889</v>
      </c>
      <c r="C109" s="719">
        <v>44889</v>
      </c>
      <c r="D109" s="720" t="s">
        <v>4700</v>
      </c>
      <c r="E109" s="639" t="s">
        <v>4737</v>
      </c>
      <c r="F109" s="721" t="s">
        <v>4702</v>
      </c>
      <c r="G109" s="720" t="s">
        <v>4738</v>
      </c>
      <c r="H109" s="721" t="s">
        <v>3880</v>
      </c>
      <c r="I109" s="720" t="s">
        <v>4704</v>
      </c>
      <c r="J109" s="722">
        <v>21823</v>
      </c>
      <c r="K109" s="722">
        <v>54.38</v>
      </c>
      <c r="L109" s="723">
        <f t="shared" si="4"/>
        <v>401.30562706877527</v>
      </c>
      <c r="M109" s="720">
        <v>60</v>
      </c>
      <c r="N109" s="724">
        <f t="shared" si="5"/>
        <v>363.71666666666664</v>
      </c>
      <c r="O109" s="725">
        <f t="shared" ca="1" si="6"/>
        <v>14</v>
      </c>
      <c r="P109" s="723">
        <f t="shared" ca="1" si="7"/>
        <v>16730.966666666667</v>
      </c>
      <c r="Q109" s="720" t="s">
        <v>4705</v>
      </c>
    </row>
    <row r="110" spans="2:17" ht="30" x14ac:dyDescent="0.25">
      <c r="B110" s="719">
        <v>44889</v>
      </c>
      <c r="C110" s="719">
        <v>44889</v>
      </c>
      <c r="D110" s="720" t="s">
        <v>4700</v>
      </c>
      <c r="E110" s="639" t="s">
        <v>4739</v>
      </c>
      <c r="F110" s="721" t="s">
        <v>4702</v>
      </c>
      <c r="G110" s="720" t="s">
        <v>4740</v>
      </c>
      <c r="H110" s="721" t="s">
        <v>3880</v>
      </c>
      <c r="I110" s="720" t="s">
        <v>4704</v>
      </c>
      <c r="J110" s="722">
        <v>21823</v>
      </c>
      <c r="K110" s="722">
        <v>54.38</v>
      </c>
      <c r="L110" s="723">
        <f t="shared" si="4"/>
        <v>401.30562706877527</v>
      </c>
      <c r="M110" s="720">
        <v>60</v>
      </c>
      <c r="N110" s="724">
        <f t="shared" si="5"/>
        <v>363.71666666666664</v>
      </c>
      <c r="O110" s="725">
        <f t="shared" ca="1" si="6"/>
        <v>14</v>
      </c>
      <c r="P110" s="723">
        <f t="shared" ca="1" si="7"/>
        <v>16730.966666666667</v>
      </c>
      <c r="Q110" s="720" t="s">
        <v>4705</v>
      </c>
    </row>
    <row r="111" spans="2:17" ht="30" x14ac:dyDescent="0.25">
      <c r="B111" s="719">
        <v>44889</v>
      </c>
      <c r="C111" s="719">
        <v>44889</v>
      </c>
      <c r="D111" s="720" t="s">
        <v>4700</v>
      </c>
      <c r="E111" s="639" t="s">
        <v>4741</v>
      </c>
      <c r="F111" s="721" t="s">
        <v>4702</v>
      </c>
      <c r="G111" s="720" t="s">
        <v>4742</v>
      </c>
      <c r="H111" s="721" t="s">
        <v>3880</v>
      </c>
      <c r="I111" s="720" t="s">
        <v>4704</v>
      </c>
      <c r="J111" s="722">
        <v>21823</v>
      </c>
      <c r="K111" s="722">
        <v>54.38</v>
      </c>
      <c r="L111" s="723">
        <f t="shared" si="4"/>
        <v>401.30562706877527</v>
      </c>
      <c r="M111" s="720">
        <v>60</v>
      </c>
      <c r="N111" s="724">
        <f t="shared" si="5"/>
        <v>363.71666666666664</v>
      </c>
      <c r="O111" s="725">
        <f t="shared" ca="1" si="6"/>
        <v>14</v>
      </c>
      <c r="P111" s="723">
        <f t="shared" ca="1" si="7"/>
        <v>16730.966666666667</v>
      </c>
      <c r="Q111" s="720" t="s">
        <v>4705</v>
      </c>
    </row>
    <row r="112" spans="2:17" ht="30" x14ac:dyDescent="0.25">
      <c r="B112" s="719">
        <v>44889</v>
      </c>
      <c r="C112" s="719">
        <v>44889</v>
      </c>
      <c r="D112" s="720" t="s">
        <v>4700</v>
      </c>
      <c r="E112" s="639" t="s">
        <v>4743</v>
      </c>
      <c r="F112" s="721" t="s">
        <v>4702</v>
      </c>
      <c r="G112" s="720" t="s">
        <v>4744</v>
      </c>
      <c r="H112" s="721" t="s">
        <v>3880</v>
      </c>
      <c r="I112" s="720" t="s">
        <v>4704</v>
      </c>
      <c r="J112" s="722">
        <v>21823</v>
      </c>
      <c r="K112" s="722">
        <v>54.38</v>
      </c>
      <c r="L112" s="723">
        <f t="shared" si="4"/>
        <v>401.30562706877527</v>
      </c>
      <c r="M112" s="720">
        <v>60</v>
      </c>
      <c r="N112" s="724">
        <f t="shared" si="5"/>
        <v>363.71666666666664</v>
      </c>
      <c r="O112" s="725">
        <f t="shared" ca="1" si="6"/>
        <v>14</v>
      </c>
      <c r="P112" s="723">
        <f t="shared" ca="1" si="7"/>
        <v>16730.966666666667</v>
      </c>
      <c r="Q112" s="720" t="s">
        <v>4705</v>
      </c>
    </row>
    <row r="113" spans="2:17" ht="30" x14ac:dyDescent="0.25">
      <c r="B113" s="719">
        <v>44889</v>
      </c>
      <c r="C113" s="719">
        <v>44889</v>
      </c>
      <c r="D113" s="720" t="s">
        <v>4700</v>
      </c>
      <c r="E113" s="639" t="s">
        <v>4745</v>
      </c>
      <c r="F113" s="721" t="s">
        <v>4702</v>
      </c>
      <c r="G113" s="720" t="s">
        <v>4746</v>
      </c>
      <c r="H113" s="721" t="s">
        <v>3880</v>
      </c>
      <c r="I113" s="720" t="s">
        <v>4704</v>
      </c>
      <c r="J113" s="722">
        <v>21823</v>
      </c>
      <c r="K113" s="722">
        <v>54.38</v>
      </c>
      <c r="L113" s="723">
        <f t="shared" si="4"/>
        <v>401.30562706877527</v>
      </c>
      <c r="M113" s="720">
        <v>60</v>
      </c>
      <c r="N113" s="724">
        <f t="shared" si="5"/>
        <v>363.71666666666664</v>
      </c>
      <c r="O113" s="725">
        <f t="shared" ca="1" si="6"/>
        <v>14</v>
      </c>
      <c r="P113" s="723">
        <f t="shared" ca="1" si="7"/>
        <v>16730.966666666667</v>
      </c>
      <c r="Q113" s="720" t="s">
        <v>4705</v>
      </c>
    </row>
    <row r="114" spans="2:17" ht="30" x14ac:dyDescent="0.25">
      <c r="B114" s="719">
        <v>44889</v>
      </c>
      <c r="C114" s="719">
        <v>44889</v>
      </c>
      <c r="D114" s="720" t="s">
        <v>4700</v>
      </c>
      <c r="E114" s="639" t="s">
        <v>4747</v>
      </c>
      <c r="F114" s="721" t="s">
        <v>4702</v>
      </c>
      <c r="G114" s="720" t="s">
        <v>4748</v>
      </c>
      <c r="H114" s="721" t="s">
        <v>3880</v>
      </c>
      <c r="I114" s="720" t="s">
        <v>4704</v>
      </c>
      <c r="J114" s="722">
        <v>21823</v>
      </c>
      <c r="K114" s="722">
        <v>54.38</v>
      </c>
      <c r="L114" s="723">
        <f t="shared" si="4"/>
        <v>401.30562706877527</v>
      </c>
      <c r="M114" s="720">
        <v>60</v>
      </c>
      <c r="N114" s="724">
        <f t="shared" si="5"/>
        <v>363.71666666666664</v>
      </c>
      <c r="O114" s="725">
        <f t="shared" ca="1" si="6"/>
        <v>14</v>
      </c>
      <c r="P114" s="723">
        <f t="shared" ca="1" si="7"/>
        <v>16730.966666666667</v>
      </c>
      <c r="Q114" s="720" t="s">
        <v>4705</v>
      </c>
    </row>
    <row r="115" spans="2:17" ht="30" x14ac:dyDescent="0.25">
      <c r="B115" s="719">
        <v>44889</v>
      </c>
      <c r="C115" s="719">
        <v>44889</v>
      </c>
      <c r="D115" s="720" t="s">
        <v>4700</v>
      </c>
      <c r="E115" s="639" t="s">
        <v>4749</v>
      </c>
      <c r="F115" s="721" t="s">
        <v>4702</v>
      </c>
      <c r="G115" s="720" t="s">
        <v>4750</v>
      </c>
      <c r="H115" s="721" t="s">
        <v>3880</v>
      </c>
      <c r="I115" s="720" t="s">
        <v>4704</v>
      </c>
      <c r="J115" s="722">
        <v>21823</v>
      </c>
      <c r="K115" s="722">
        <v>54.38</v>
      </c>
      <c r="L115" s="723">
        <f t="shared" si="4"/>
        <v>401.30562706877527</v>
      </c>
      <c r="M115" s="720">
        <v>60</v>
      </c>
      <c r="N115" s="724">
        <f t="shared" si="5"/>
        <v>363.71666666666664</v>
      </c>
      <c r="O115" s="725">
        <f t="shared" ca="1" si="6"/>
        <v>14</v>
      </c>
      <c r="P115" s="723">
        <f t="shared" ca="1" si="7"/>
        <v>16730.966666666667</v>
      </c>
      <c r="Q115" s="720" t="s">
        <v>4705</v>
      </c>
    </row>
    <row r="116" spans="2:17" ht="30" x14ac:dyDescent="0.25">
      <c r="B116" s="719">
        <v>44889</v>
      </c>
      <c r="C116" s="719">
        <v>44889</v>
      </c>
      <c r="D116" s="720" t="s">
        <v>4700</v>
      </c>
      <c r="E116" s="639" t="s">
        <v>4751</v>
      </c>
      <c r="F116" s="721" t="s">
        <v>4702</v>
      </c>
      <c r="G116" s="720" t="s">
        <v>4752</v>
      </c>
      <c r="H116" s="721" t="s">
        <v>3880</v>
      </c>
      <c r="I116" s="720" t="s">
        <v>4704</v>
      </c>
      <c r="J116" s="722">
        <v>21823</v>
      </c>
      <c r="K116" s="722">
        <v>54.38</v>
      </c>
      <c r="L116" s="723">
        <f t="shared" si="4"/>
        <v>401.30562706877527</v>
      </c>
      <c r="M116" s="720">
        <v>60</v>
      </c>
      <c r="N116" s="724">
        <f t="shared" si="5"/>
        <v>363.71666666666664</v>
      </c>
      <c r="O116" s="725">
        <f t="shared" ca="1" si="6"/>
        <v>14</v>
      </c>
      <c r="P116" s="723">
        <f t="shared" ca="1" si="7"/>
        <v>16730.966666666667</v>
      </c>
      <c r="Q116" s="720" t="s">
        <v>4705</v>
      </c>
    </row>
    <row r="117" spans="2:17" ht="30" x14ac:dyDescent="0.25">
      <c r="B117" s="719">
        <v>44889</v>
      </c>
      <c r="C117" s="719">
        <v>44889</v>
      </c>
      <c r="D117" s="720" t="s">
        <v>4700</v>
      </c>
      <c r="E117" s="639" t="s">
        <v>4753</v>
      </c>
      <c r="F117" s="721" t="s">
        <v>4702</v>
      </c>
      <c r="G117" s="720" t="s">
        <v>4754</v>
      </c>
      <c r="H117" s="721" t="s">
        <v>3880</v>
      </c>
      <c r="I117" s="720" t="s">
        <v>4704</v>
      </c>
      <c r="J117" s="722">
        <v>21823</v>
      </c>
      <c r="K117" s="722">
        <v>54.38</v>
      </c>
      <c r="L117" s="723">
        <f t="shared" si="4"/>
        <v>401.30562706877527</v>
      </c>
      <c r="M117" s="720">
        <v>60</v>
      </c>
      <c r="N117" s="724">
        <f t="shared" si="5"/>
        <v>363.71666666666664</v>
      </c>
      <c r="O117" s="725">
        <f t="shared" ca="1" si="6"/>
        <v>14</v>
      </c>
      <c r="P117" s="723">
        <f t="shared" ca="1" si="7"/>
        <v>16730.966666666667</v>
      </c>
      <c r="Q117" s="720" t="s">
        <v>4705</v>
      </c>
    </row>
    <row r="118" spans="2:17" ht="30" x14ac:dyDescent="0.25">
      <c r="B118" s="719">
        <v>44889</v>
      </c>
      <c r="C118" s="719">
        <v>44889</v>
      </c>
      <c r="D118" s="720" t="s">
        <v>4700</v>
      </c>
      <c r="E118" s="639" t="s">
        <v>4755</v>
      </c>
      <c r="F118" s="721" t="s">
        <v>4702</v>
      </c>
      <c r="G118" s="720" t="s">
        <v>4756</v>
      </c>
      <c r="H118" s="721" t="s">
        <v>3880</v>
      </c>
      <c r="I118" s="720" t="s">
        <v>4704</v>
      </c>
      <c r="J118" s="722">
        <v>21823</v>
      </c>
      <c r="K118" s="722">
        <v>54.38</v>
      </c>
      <c r="L118" s="723">
        <f t="shared" si="4"/>
        <v>401.30562706877527</v>
      </c>
      <c r="M118" s="720">
        <v>60</v>
      </c>
      <c r="N118" s="724">
        <f t="shared" si="5"/>
        <v>363.71666666666664</v>
      </c>
      <c r="O118" s="725">
        <f t="shared" ca="1" si="6"/>
        <v>14</v>
      </c>
      <c r="P118" s="723">
        <f t="shared" ca="1" si="7"/>
        <v>16730.966666666667</v>
      </c>
      <c r="Q118" s="720" t="s">
        <v>4705</v>
      </c>
    </row>
    <row r="119" spans="2:17" ht="30" x14ac:dyDescent="0.25">
      <c r="B119" s="719">
        <v>44889</v>
      </c>
      <c r="C119" s="719">
        <v>44889</v>
      </c>
      <c r="D119" s="720" t="s">
        <v>4700</v>
      </c>
      <c r="E119" s="639" t="s">
        <v>4757</v>
      </c>
      <c r="F119" s="721" t="s">
        <v>4702</v>
      </c>
      <c r="G119" s="720" t="s">
        <v>4758</v>
      </c>
      <c r="H119" s="721" t="s">
        <v>3880</v>
      </c>
      <c r="I119" s="720" t="s">
        <v>4704</v>
      </c>
      <c r="J119" s="722">
        <v>21823</v>
      </c>
      <c r="K119" s="722">
        <v>54.38</v>
      </c>
      <c r="L119" s="723">
        <f t="shared" si="4"/>
        <v>401.30562706877527</v>
      </c>
      <c r="M119" s="720">
        <v>60</v>
      </c>
      <c r="N119" s="724">
        <f t="shared" si="5"/>
        <v>363.71666666666664</v>
      </c>
      <c r="O119" s="725">
        <f t="shared" ca="1" si="6"/>
        <v>14</v>
      </c>
      <c r="P119" s="723">
        <f t="shared" ca="1" si="7"/>
        <v>16730.966666666667</v>
      </c>
      <c r="Q119" s="720" t="s">
        <v>4705</v>
      </c>
    </row>
    <row r="120" spans="2:17" ht="30" x14ac:dyDescent="0.25">
      <c r="B120" s="719">
        <v>44889</v>
      </c>
      <c r="C120" s="719">
        <v>44889</v>
      </c>
      <c r="D120" s="720" t="s">
        <v>4700</v>
      </c>
      <c r="E120" s="639" t="s">
        <v>4759</v>
      </c>
      <c r="F120" s="721" t="s">
        <v>4702</v>
      </c>
      <c r="G120" s="720" t="s">
        <v>4760</v>
      </c>
      <c r="H120" s="721" t="s">
        <v>3880</v>
      </c>
      <c r="I120" s="720" t="s">
        <v>4704</v>
      </c>
      <c r="J120" s="722">
        <v>21823</v>
      </c>
      <c r="K120" s="722">
        <v>54.38</v>
      </c>
      <c r="L120" s="723">
        <f t="shared" si="4"/>
        <v>401.30562706877527</v>
      </c>
      <c r="M120" s="720">
        <v>60</v>
      </c>
      <c r="N120" s="724">
        <f t="shared" si="5"/>
        <v>363.71666666666664</v>
      </c>
      <c r="O120" s="725">
        <f t="shared" ca="1" si="6"/>
        <v>14</v>
      </c>
      <c r="P120" s="723">
        <f t="shared" ca="1" si="7"/>
        <v>16730.966666666667</v>
      </c>
      <c r="Q120" s="720" t="s">
        <v>4705</v>
      </c>
    </row>
    <row r="121" spans="2:17" ht="30" x14ac:dyDescent="0.25">
      <c r="B121" s="719">
        <v>44889</v>
      </c>
      <c r="C121" s="719">
        <v>44889</v>
      </c>
      <c r="D121" s="720" t="s">
        <v>4700</v>
      </c>
      <c r="E121" s="639" t="s">
        <v>4761</v>
      </c>
      <c r="F121" s="721" t="s">
        <v>4702</v>
      </c>
      <c r="G121" s="720" t="s">
        <v>4762</v>
      </c>
      <c r="H121" s="721" t="s">
        <v>3880</v>
      </c>
      <c r="I121" s="720" t="s">
        <v>4704</v>
      </c>
      <c r="J121" s="722">
        <v>21823</v>
      </c>
      <c r="K121" s="722">
        <v>54.38</v>
      </c>
      <c r="L121" s="723">
        <f t="shared" si="4"/>
        <v>401.30562706877527</v>
      </c>
      <c r="M121" s="720">
        <v>60</v>
      </c>
      <c r="N121" s="724">
        <f t="shared" si="5"/>
        <v>363.71666666666664</v>
      </c>
      <c r="O121" s="725">
        <f t="shared" ca="1" si="6"/>
        <v>14</v>
      </c>
      <c r="P121" s="723">
        <f t="shared" ca="1" si="7"/>
        <v>16730.966666666667</v>
      </c>
      <c r="Q121" s="720" t="s">
        <v>4705</v>
      </c>
    </row>
    <row r="122" spans="2:17" ht="30" x14ac:dyDescent="0.25">
      <c r="B122" s="719">
        <v>44889</v>
      </c>
      <c r="C122" s="719">
        <v>44889</v>
      </c>
      <c r="D122" s="720" t="s">
        <v>4700</v>
      </c>
      <c r="E122" s="639" t="s">
        <v>4763</v>
      </c>
      <c r="F122" s="721" t="s">
        <v>4702</v>
      </c>
      <c r="G122" s="720" t="s">
        <v>4764</v>
      </c>
      <c r="H122" s="721" t="s">
        <v>3880</v>
      </c>
      <c r="I122" s="720" t="s">
        <v>4704</v>
      </c>
      <c r="J122" s="722">
        <v>21823</v>
      </c>
      <c r="K122" s="722">
        <v>54.38</v>
      </c>
      <c r="L122" s="723">
        <f t="shared" si="4"/>
        <v>401.30562706877527</v>
      </c>
      <c r="M122" s="720">
        <v>60</v>
      </c>
      <c r="N122" s="724">
        <f t="shared" si="5"/>
        <v>363.71666666666664</v>
      </c>
      <c r="O122" s="725">
        <f t="shared" ca="1" si="6"/>
        <v>14</v>
      </c>
      <c r="P122" s="723">
        <f t="shared" ca="1" si="7"/>
        <v>16730.966666666667</v>
      </c>
      <c r="Q122" s="720" t="s">
        <v>4705</v>
      </c>
    </row>
    <row r="123" spans="2:17" ht="30" x14ac:dyDescent="0.25">
      <c r="B123" s="719">
        <v>44889</v>
      </c>
      <c r="C123" s="719">
        <v>44889</v>
      </c>
      <c r="D123" s="720" t="s">
        <v>4700</v>
      </c>
      <c r="E123" s="639" t="s">
        <v>4765</v>
      </c>
      <c r="F123" s="721" t="s">
        <v>4702</v>
      </c>
      <c r="G123" s="720" t="s">
        <v>4766</v>
      </c>
      <c r="H123" s="721" t="s">
        <v>3880</v>
      </c>
      <c r="I123" s="720" t="s">
        <v>4704</v>
      </c>
      <c r="J123" s="722">
        <v>21823</v>
      </c>
      <c r="K123" s="722">
        <v>54.38</v>
      </c>
      <c r="L123" s="723">
        <f t="shared" si="4"/>
        <v>401.30562706877527</v>
      </c>
      <c r="M123" s="720">
        <v>60</v>
      </c>
      <c r="N123" s="724">
        <f t="shared" si="5"/>
        <v>363.71666666666664</v>
      </c>
      <c r="O123" s="725">
        <f t="shared" ca="1" si="6"/>
        <v>14</v>
      </c>
      <c r="P123" s="723">
        <f t="shared" ca="1" si="7"/>
        <v>16730.966666666667</v>
      </c>
      <c r="Q123" s="720" t="s">
        <v>4705</v>
      </c>
    </row>
    <row r="124" spans="2:17" ht="30" x14ac:dyDescent="0.25">
      <c r="B124" s="719">
        <v>44889</v>
      </c>
      <c r="C124" s="719">
        <v>44889</v>
      </c>
      <c r="D124" s="720" t="s">
        <v>4700</v>
      </c>
      <c r="E124" s="639" t="s">
        <v>4767</v>
      </c>
      <c r="F124" s="721" t="s">
        <v>4702</v>
      </c>
      <c r="G124" s="720" t="s">
        <v>4768</v>
      </c>
      <c r="H124" s="721" t="s">
        <v>3880</v>
      </c>
      <c r="I124" s="720" t="s">
        <v>4704</v>
      </c>
      <c r="J124" s="722">
        <v>21823</v>
      </c>
      <c r="K124" s="722">
        <v>54.38</v>
      </c>
      <c r="L124" s="723">
        <f t="shared" si="4"/>
        <v>401.30562706877527</v>
      </c>
      <c r="M124" s="720">
        <v>60</v>
      </c>
      <c r="N124" s="724">
        <f t="shared" si="5"/>
        <v>363.71666666666664</v>
      </c>
      <c r="O124" s="725">
        <f t="shared" ca="1" si="6"/>
        <v>14</v>
      </c>
      <c r="P124" s="723">
        <f t="shared" ca="1" si="7"/>
        <v>16730.966666666667</v>
      </c>
      <c r="Q124" s="720" t="s">
        <v>4705</v>
      </c>
    </row>
    <row r="125" spans="2:17" ht="30" x14ac:dyDescent="0.25">
      <c r="B125" s="719">
        <v>44889</v>
      </c>
      <c r="C125" s="719">
        <v>44889</v>
      </c>
      <c r="D125" s="720" t="s">
        <v>4700</v>
      </c>
      <c r="E125" s="639" t="s">
        <v>4769</v>
      </c>
      <c r="F125" s="721" t="s">
        <v>4702</v>
      </c>
      <c r="G125" s="720" t="s">
        <v>4770</v>
      </c>
      <c r="H125" s="721" t="s">
        <v>3880</v>
      </c>
      <c r="I125" s="720" t="s">
        <v>4704</v>
      </c>
      <c r="J125" s="722">
        <v>21823</v>
      </c>
      <c r="K125" s="722">
        <v>54.38</v>
      </c>
      <c r="L125" s="723">
        <f t="shared" si="4"/>
        <v>401.30562706877527</v>
      </c>
      <c r="M125" s="720">
        <v>60</v>
      </c>
      <c r="N125" s="724">
        <f t="shared" si="5"/>
        <v>363.71666666666664</v>
      </c>
      <c r="O125" s="725">
        <f t="shared" ca="1" si="6"/>
        <v>14</v>
      </c>
      <c r="P125" s="723">
        <f t="shared" ca="1" si="7"/>
        <v>16730.966666666667</v>
      </c>
      <c r="Q125" s="720" t="s">
        <v>4705</v>
      </c>
    </row>
    <row r="126" spans="2:17" ht="30" x14ac:dyDescent="0.25">
      <c r="B126" s="719">
        <v>44889</v>
      </c>
      <c r="C126" s="719">
        <v>44889</v>
      </c>
      <c r="D126" s="720" t="s">
        <v>4700</v>
      </c>
      <c r="E126" s="639" t="s">
        <v>4771</v>
      </c>
      <c r="F126" s="721" t="s">
        <v>4702</v>
      </c>
      <c r="G126" s="720" t="s">
        <v>4772</v>
      </c>
      <c r="H126" s="721" t="s">
        <v>3880</v>
      </c>
      <c r="I126" s="720" t="s">
        <v>4704</v>
      </c>
      <c r="J126" s="722">
        <v>21823</v>
      </c>
      <c r="K126" s="722">
        <v>54.38</v>
      </c>
      <c r="L126" s="723">
        <f t="shared" si="4"/>
        <v>401.30562706877527</v>
      </c>
      <c r="M126" s="720">
        <v>60</v>
      </c>
      <c r="N126" s="724">
        <f t="shared" si="5"/>
        <v>363.71666666666664</v>
      </c>
      <c r="O126" s="725">
        <f t="shared" ca="1" si="6"/>
        <v>14</v>
      </c>
      <c r="P126" s="723">
        <f t="shared" ca="1" si="7"/>
        <v>16730.966666666667</v>
      </c>
      <c r="Q126" s="720" t="s">
        <v>4705</v>
      </c>
    </row>
    <row r="127" spans="2:17" ht="30" x14ac:dyDescent="0.25">
      <c r="B127" s="719">
        <v>44889</v>
      </c>
      <c r="C127" s="719">
        <v>44889</v>
      </c>
      <c r="D127" s="720" t="s">
        <v>4700</v>
      </c>
      <c r="E127" s="639" t="s">
        <v>4773</v>
      </c>
      <c r="F127" s="721" t="s">
        <v>4702</v>
      </c>
      <c r="G127" s="720" t="s">
        <v>4774</v>
      </c>
      <c r="H127" s="721" t="s">
        <v>3880</v>
      </c>
      <c r="I127" s="720" t="s">
        <v>4704</v>
      </c>
      <c r="J127" s="722">
        <v>21823</v>
      </c>
      <c r="K127" s="722">
        <v>54.38</v>
      </c>
      <c r="L127" s="723">
        <f t="shared" si="4"/>
        <v>401.30562706877527</v>
      </c>
      <c r="M127" s="720">
        <v>60</v>
      </c>
      <c r="N127" s="724">
        <f t="shared" si="5"/>
        <v>363.71666666666664</v>
      </c>
      <c r="O127" s="725">
        <f t="shared" ca="1" si="6"/>
        <v>14</v>
      </c>
      <c r="P127" s="723">
        <f t="shared" ca="1" si="7"/>
        <v>16730.966666666667</v>
      </c>
      <c r="Q127" s="720" t="s">
        <v>4705</v>
      </c>
    </row>
    <row r="128" spans="2:17" ht="30" x14ac:dyDescent="0.25">
      <c r="B128" s="719">
        <v>44889</v>
      </c>
      <c r="C128" s="719">
        <v>44889</v>
      </c>
      <c r="D128" s="720" t="s">
        <v>4700</v>
      </c>
      <c r="E128" s="639" t="s">
        <v>4775</v>
      </c>
      <c r="F128" s="721" t="s">
        <v>4702</v>
      </c>
      <c r="G128" s="720" t="s">
        <v>4776</v>
      </c>
      <c r="H128" s="721" t="s">
        <v>3880</v>
      </c>
      <c r="I128" s="720" t="s">
        <v>4704</v>
      </c>
      <c r="J128" s="722">
        <v>21823</v>
      </c>
      <c r="K128" s="722">
        <v>54.38</v>
      </c>
      <c r="L128" s="723">
        <f t="shared" si="4"/>
        <v>401.30562706877527</v>
      </c>
      <c r="M128" s="720">
        <v>60</v>
      </c>
      <c r="N128" s="724">
        <f t="shared" si="5"/>
        <v>363.71666666666664</v>
      </c>
      <c r="O128" s="725">
        <f t="shared" ca="1" si="6"/>
        <v>14</v>
      </c>
      <c r="P128" s="723">
        <f t="shared" ca="1" si="7"/>
        <v>16730.966666666667</v>
      </c>
      <c r="Q128" s="720" t="s">
        <v>4705</v>
      </c>
    </row>
    <row r="129" spans="2:17" ht="30" x14ac:dyDescent="0.25">
      <c r="B129" s="719">
        <v>44889</v>
      </c>
      <c r="C129" s="719">
        <v>44889</v>
      </c>
      <c r="D129" s="720" t="s">
        <v>4700</v>
      </c>
      <c r="E129" s="639" t="s">
        <v>4777</v>
      </c>
      <c r="F129" s="721" t="s">
        <v>4702</v>
      </c>
      <c r="G129" s="720" t="s">
        <v>4778</v>
      </c>
      <c r="H129" s="721" t="s">
        <v>3880</v>
      </c>
      <c r="I129" s="720" t="s">
        <v>4704</v>
      </c>
      <c r="J129" s="722">
        <v>21823</v>
      </c>
      <c r="K129" s="722">
        <v>54.38</v>
      </c>
      <c r="L129" s="723">
        <f t="shared" si="4"/>
        <v>401.30562706877527</v>
      </c>
      <c r="M129" s="720">
        <v>60</v>
      </c>
      <c r="N129" s="724">
        <f t="shared" si="5"/>
        <v>363.71666666666664</v>
      </c>
      <c r="O129" s="725">
        <f t="shared" ca="1" si="6"/>
        <v>14</v>
      </c>
      <c r="P129" s="723">
        <f t="shared" ca="1" si="7"/>
        <v>16730.966666666667</v>
      </c>
      <c r="Q129" s="720" t="s">
        <v>4705</v>
      </c>
    </row>
    <row r="130" spans="2:17" ht="30" x14ac:dyDescent="0.25">
      <c r="B130" s="719">
        <v>44889</v>
      </c>
      <c r="C130" s="719">
        <v>44889</v>
      </c>
      <c r="D130" s="720" t="s">
        <v>4700</v>
      </c>
      <c r="E130" s="639" t="s">
        <v>4779</v>
      </c>
      <c r="F130" s="721" t="s">
        <v>4702</v>
      </c>
      <c r="G130" s="720" t="s">
        <v>4780</v>
      </c>
      <c r="H130" s="721" t="s">
        <v>3880</v>
      </c>
      <c r="I130" s="720" t="s">
        <v>4704</v>
      </c>
      <c r="J130" s="722">
        <v>21823</v>
      </c>
      <c r="K130" s="722">
        <v>54.38</v>
      </c>
      <c r="L130" s="723">
        <f t="shared" si="4"/>
        <v>401.30562706877527</v>
      </c>
      <c r="M130" s="720">
        <v>60</v>
      </c>
      <c r="N130" s="724">
        <f t="shared" si="5"/>
        <v>363.71666666666664</v>
      </c>
      <c r="O130" s="725">
        <f t="shared" ca="1" si="6"/>
        <v>14</v>
      </c>
      <c r="P130" s="723">
        <f t="shared" ca="1" si="7"/>
        <v>16730.966666666667</v>
      </c>
      <c r="Q130" s="720" t="s">
        <v>4705</v>
      </c>
    </row>
    <row r="131" spans="2:17" ht="30" x14ac:dyDescent="0.25">
      <c r="B131" s="719">
        <v>44889</v>
      </c>
      <c r="C131" s="719">
        <v>44889</v>
      </c>
      <c r="D131" s="720" t="s">
        <v>4700</v>
      </c>
      <c r="E131" s="639" t="s">
        <v>4781</v>
      </c>
      <c r="F131" s="721" t="s">
        <v>4702</v>
      </c>
      <c r="G131" s="720" t="s">
        <v>4782</v>
      </c>
      <c r="H131" s="721" t="s">
        <v>3880</v>
      </c>
      <c r="I131" s="720" t="s">
        <v>4704</v>
      </c>
      <c r="J131" s="722">
        <v>21823</v>
      </c>
      <c r="K131" s="722">
        <v>54.38</v>
      </c>
      <c r="L131" s="723">
        <f t="shared" si="4"/>
        <v>401.30562706877527</v>
      </c>
      <c r="M131" s="720">
        <v>60</v>
      </c>
      <c r="N131" s="724">
        <f t="shared" si="5"/>
        <v>363.71666666666664</v>
      </c>
      <c r="O131" s="725">
        <f t="shared" ca="1" si="6"/>
        <v>14</v>
      </c>
      <c r="P131" s="723">
        <f t="shared" ca="1" si="7"/>
        <v>16730.966666666667</v>
      </c>
      <c r="Q131" s="720" t="s">
        <v>4705</v>
      </c>
    </row>
    <row r="132" spans="2:17" ht="30" x14ac:dyDescent="0.25">
      <c r="B132" s="719">
        <v>44889</v>
      </c>
      <c r="C132" s="719">
        <v>44889</v>
      </c>
      <c r="D132" s="720" t="s">
        <v>4700</v>
      </c>
      <c r="E132" s="639" t="s">
        <v>4783</v>
      </c>
      <c r="F132" s="721" t="s">
        <v>4702</v>
      </c>
      <c r="G132" s="720" t="s">
        <v>4784</v>
      </c>
      <c r="H132" s="721" t="s">
        <v>3880</v>
      </c>
      <c r="I132" s="720" t="s">
        <v>4704</v>
      </c>
      <c r="J132" s="722">
        <v>21823</v>
      </c>
      <c r="K132" s="722">
        <v>54.38</v>
      </c>
      <c r="L132" s="723">
        <f t="shared" si="4"/>
        <v>401.30562706877527</v>
      </c>
      <c r="M132" s="720">
        <v>60</v>
      </c>
      <c r="N132" s="724">
        <f t="shared" si="5"/>
        <v>363.71666666666664</v>
      </c>
      <c r="O132" s="725">
        <f t="shared" ca="1" si="6"/>
        <v>14</v>
      </c>
      <c r="P132" s="723">
        <f t="shared" ca="1" si="7"/>
        <v>16730.966666666667</v>
      </c>
      <c r="Q132" s="720" t="s">
        <v>4705</v>
      </c>
    </row>
    <row r="133" spans="2:17" ht="30" x14ac:dyDescent="0.25">
      <c r="B133" s="719">
        <v>44889</v>
      </c>
      <c r="C133" s="719">
        <v>44889</v>
      </c>
      <c r="D133" s="720" t="s">
        <v>4700</v>
      </c>
      <c r="E133" s="639" t="s">
        <v>4785</v>
      </c>
      <c r="F133" s="721" t="s">
        <v>4702</v>
      </c>
      <c r="G133" s="720" t="s">
        <v>4786</v>
      </c>
      <c r="H133" s="721" t="s">
        <v>3880</v>
      </c>
      <c r="I133" s="720" t="s">
        <v>4704</v>
      </c>
      <c r="J133" s="722">
        <v>21823</v>
      </c>
      <c r="K133" s="722">
        <v>54.38</v>
      </c>
      <c r="L133" s="723">
        <f t="shared" si="4"/>
        <v>401.30562706877527</v>
      </c>
      <c r="M133" s="720">
        <v>60</v>
      </c>
      <c r="N133" s="724">
        <f t="shared" si="5"/>
        <v>363.71666666666664</v>
      </c>
      <c r="O133" s="725">
        <f t="shared" ca="1" si="6"/>
        <v>14</v>
      </c>
      <c r="P133" s="723">
        <f t="shared" ca="1" si="7"/>
        <v>16730.966666666667</v>
      </c>
      <c r="Q133" s="720" t="s">
        <v>4705</v>
      </c>
    </row>
    <row r="134" spans="2:17" ht="30" x14ac:dyDescent="0.25">
      <c r="B134" s="719">
        <v>44889</v>
      </c>
      <c r="C134" s="719">
        <v>44889</v>
      </c>
      <c r="D134" s="720" t="s">
        <v>4700</v>
      </c>
      <c r="E134" s="639" t="s">
        <v>4787</v>
      </c>
      <c r="F134" s="721" t="s">
        <v>4702</v>
      </c>
      <c r="G134" s="720" t="s">
        <v>4788</v>
      </c>
      <c r="H134" s="721" t="s">
        <v>3880</v>
      </c>
      <c r="I134" s="720" t="s">
        <v>4704</v>
      </c>
      <c r="J134" s="722">
        <v>21823</v>
      </c>
      <c r="K134" s="722">
        <v>54.38</v>
      </c>
      <c r="L134" s="723">
        <f t="shared" si="4"/>
        <v>401.30562706877527</v>
      </c>
      <c r="M134" s="720">
        <v>60</v>
      </c>
      <c r="N134" s="724">
        <f t="shared" si="5"/>
        <v>363.71666666666664</v>
      </c>
      <c r="O134" s="725">
        <f t="shared" ca="1" si="6"/>
        <v>14</v>
      </c>
      <c r="P134" s="723">
        <f t="shared" ca="1" si="7"/>
        <v>16730.966666666667</v>
      </c>
      <c r="Q134" s="720" t="s">
        <v>4705</v>
      </c>
    </row>
    <row r="135" spans="2:17" ht="30" x14ac:dyDescent="0.25">
      <c r="B135" s="719">
        <v>44889</v>
      </c>
      <c r="C135" s="719">
        <v>44889</v>
      </c>
      <c r="D135" s="720" t="s">
        <v>4700</v>
      </c>
      <c r="E135" s="639" t="s">
        <v>4789</v>
      </c>
      <c r="F135" s="721" t="s">
        <v>4702</v>
      </c>
      <c r="G135" s="720" t="s">
        <v>4790</v>
      </c>
      <c r="H135" s="721" t="s">
        <v>3880</v>
      </c>
      <c r="I135" s="720" t="s">
        <v>4704</v>
      </c>
      <c r="J135" s="722">
        <v>21823</v>
      </c>
      <c r="K135" s="722">
        <v>54.38</v>
      </c>
      <c r="L135" s="723">
        <f t="shared" si="4"/>
        <v>401.30562706877527</v>
      </c>
      <c r="M135" s="720">
        <v>60</v>
      </c>
      <c r="N135" s="724">
        <f t="shared" si="5"/>
        <v>363.71666666666664</v>
      </c>
      <c r="O135" s="725">
        <f t="shared" ca="1" si="6"/>
        <v>14</v>
      </c>
      <c r="P135" s="723">
        <f t="shared" ca="1" si="7"/>
        <v>16730.966666666667</v>
      </c>
      <c r="Q135" s="720" t="s">
        <v>4705</v>
      </c>
    </row>
    <row r="136" spans="2:17" ht="30" x14ac:dyDescent="0.25">
      <c r="B136" s="719">
        <v>44889</v>
      </c>
      <c r="C136" s="719">
        <v>44889</v>
      </c>
      <c r="D136" s="720" t="s">
        <v>4700</v>
      </c>
      <c r="E136" s="639" t="s">
        <v>4791</v>
      </c>
      <c r="F136" s="721" t="s">
        <v>4702</v>
      </c>
      <c r="G136" s="720" t="s">
        <v>4792</v>
      </c>
      <c r="H136" s="721" t="s">
        <v>3880</v>
      </c>
      <c r="I136" s="720" t="s">
        <v>4704</v>
      </c>
      <c r="J136" s="722">
        <v>21823</v>
      </c>
      <c r="K136" s="722">
        <v>54.38</v>
      </c>
      <c r="L136" s="723">
        <f t="shared" si="4"/>
        <v>401.30562706877527</v>
      </c>
      <c r="M136" s="720">
        <v>60</v>
      </c>
      <c r="N136" s="724">
        <f t="shared" si="5"/>
        <v>363.71666666666664</v>
      </c>
      <c r="O136" s="725">
        <f t="shared" ca="1" si="6"/>
        <v>14</v>
      </c>
      <c r="P136" s="723">
        <f t="shared" ca="1" si="7"/>
        <v>16730.966666666667</v>
      </c>
      <c r="Q136" s="720" t="s">
        <v>4705</v>
      </c>
    </row>
    <row r="137" spans="2:17" ht="30" x14ac:dyDescent="0.25">
      <c r="B137" s="719">
        <v>44889</v>
      </c>
      <c r="C137" s="719">
        <v>44889</v>
      </c>
      <c r="D137" s="720" t="s">
        <v>4700</v>
      </c>
      <c r="E137" s="639" t="s">
        <v>4793</v>
      </c>
      <c r="F137" s="721" t="s">
        <v>4702</v>
      </c>
      <c r="G137" s="720" t="s">
        <v>4794</v>
      </c>
      <c r="H137" s="721" t="s">
        <v>3880</v>
      </c>
      <c r="I137" s="720" t="s">
        <v>4704</v>
      </c>
      <c r="J137" s="722">
        <v>21823</v>
      </c>
      <c r="K137" s="722">
        <v>54.38</v>
      </c>
      <c r="L137" s="723">
        <f t="shared" si="4"/>
        <v>401.30562706877527</v>
      </c>
      <c r="M137" s="720">
        <v>60</v>
      </c>
      <c r="N137" s="724">
        <f t="shared" si="5"/>
        <v>363.71666666666664</v>
      </c>
      <c r="O137" s="725">
        <f t="shared" ca="1" si="6"/>
        <v>14</v>
      </c>
      <c r="P137" s="723">
        <f t="shared" ca="1" si="7"/>
        <v>16730.966666666667</v>
      </c>
      <c r="Q137" s="720" t="s">
        <v>4705</v>
      </c>
    </row>
    <row r="138" spans="2:17" ht="30" x14ac:dyDescent="0.25">
      <c r="B138" s="719">
        <v>44889</v>
      </c>
      <c r="C138" s="719">
        <v>44889</v>
      </c>
      <c r="D138" s="720" t="s">
        <v>4700</v>
      </c>
      <c r="E138" s="639" t="s">
        <v>4795</v>
      </c>
      <c r="F138" s="721" t="s">
        <v>4702</v>
      </c>
      <c r="G138" s="720" t="s">
        <v>4796</v>
      </c>
      <c r="H138" s="721" t="s">
        <v>3880</v>
      </c>
      <c r="I138" s="720" t="s">
        <v>4704</v>
      </c>
      <c r="J138" s="722">
        <v>21823</v>
      </c>
      <c r="K138" s="722">
        <v>54.38</v>
      </c>
      <c r="L138" s="723">
        <f t="shared" ref="L138:L201" si="8">+J138/K138</f>
        <v>401.30562706877527</v>
      </c>
      <c r="M138" s="720">
        <v>60</v>
      </c>
      <c r="N138" s="724">
        <f t="shared" ref="N138:N201" si="9">+J138/M138</f>
        <v>363.71666666666664</v>
      </c>
      <c r="O138" s="725">
        <f t="shared" ref="O138:O191" ca="1" si="10">IF(B138&lt;&gt;0,(ROUND((NOW()-B138)/30,0)),0)</f>
        <v>14</v>
      </c>
      <c r="P138" s="723">
        <f t="shared" ref="P138:P201" ca="1" si="11">IF(OR(J138=0,M138=0,O138=0),0,J138-(N138*O138))</f>
        <v>16730.966666666667</v>
      </c>
      <c r="Q138" s="720" t="s">
        <v>4705</v>
      </c>
    </row>
    <row r="139" spans="2:17" ht="30" x14ac:dyDescent="0.25">
      <c r="B139" s="719">
        <v>44889</v>
      </c>
      <c r="C139" s="719">
        <v>44889</v>
      </c>
      <c r="D139" s="720" t="s">
        <v>4700</v>
      </c>
      <c r="E139" s="639" t="s">
        <v>4797</v>
      </c>
      <c r="F139" s="721" t="s">
        <v>4702</v>
      </c>
      <c r="G139" s="720" t="s">
        <v>4798</v>
      </c>
      <c r="H139" s="721" t="s">
        <v>3880</v>
      </c>
      <c r="I139" s="720" t="s">
        <v>4704</v>
      </c>
      <c r="J139" s="722">
        <v>21823</v>
      </c>
      <c r="K139" s="722">
        <v>54.38</v>
      </c>
      <c r="L139" s="723">
        <f t="shared" si="8"/>
        <v>401.30562706877527</v>
      </c>
      <c r="M139" s="720">
        <v>60</v>
      </c>
      <c r="N139" s="724">
        <f t="shared" si="9"/>
        <v>363.71666666666664</v>
      </c>
      <c r="O139" s="725">
        <f t="shared" ca="1" si="10"/>
        <v>14</v>
      </c>
      <c r="P139" s="723">
        <f t="shared" ca="1" si="11"/>
        <v>16730.966666666667</v>
      </c>
      <c r="Q139" s="720" t="s">
        <v>4705</v>
      </c>
    </row>
    <row r="140" spans="2:17" ht="30" x14ac:dyDescent="0.25">
      <c r="B140" s="719">
        <v>44889</v>
      </c>
      <c r="C140" s="719">
        <v>44889</v>
      </c>
      <c r="D140" s="720" t="s">
        <v>4700</v>
      </c>
      <c r="E140" s="639" t="s">
        <v>4799</v>
      </c>
      <c r="F140" s="721" t="s">
        <v>4702</v>
      </c>
      <c r="G140" s="720" t="s">
        <v>4709</v>
      </c>
      <c r="H140" s="721" t="s">
        <v>3880</v>
      </c>
      <c r="I140" s="720" t="s">
        <v>4704</v>
      </c>
      <c r="J140" s="722">
        <v>21823</v>
      </c>
      <c r="K140" s="722">
        <v>54.38</v>
      </c>
      <c r="L140" s="723">
        <f t="shared" si="8"/>
        <v>401.30562706877527</v>
      </c>
      <c r="M140" s="720">
        <v>60</v>
      </c>
      <c r="N140" s="724">
        <f t="shared" si="9"/>
        <v>363.71666666666664</v>
      </c>
      <c r="O140" s="725">
        <f t="shared" ca="1" si="10"/>
        <v>14</v>
      </c>
      <c r="P140" s="723">
        <f t="shared" ca="1" si="11"/>
        <v>16730.966666666667</v>
      </c>
      <c r="Q140" s="720" t="s">
        <v>4705</v>
      </c>
    </row>
    <row r="141" spans="2:17" ht="30" x14ac:dyDescent="0.25">
      <c r="B141" s="719">
        <v>44889</v>
      </c>
      <c r="C141" s="719">
        <v>44889</v>
      </c>
      <c r="D141" s="720" t="s">
        <v>4700</v>
      </c>
      <c r="E141" s="639" t="s">
        <v>4800</v>
      </c>
      <c r="F141" s="721" t="s">
        <v>4702</v>
      </c>
      <c r="G141" s="720" t="s">
        <v>4709</v>
      </c>
      <c r="H141" s="721" t="s">
        <v>3880</v>
      </c>
      <c r="I141" s="720" t="s">
        <v>4704</v>
      </c>
      <c r="J141" s="722">
        <v>21823</v>
      </c>
      <c r="K141" s="722">
        <v>54.38</v>
      </c>
      <c r="L141" s="723">
        <f t="shared" si="8"/>
        <v>401.30562706877527</v>
      </c>
      <c r="M141" s="720">
        <v>60</v>
      </c>
      <c r="N141" s="724">
        <f t="shared" si="9"/>
        <v>363.71666666666664</v>
      </c>
      <c r="O141" s="725">
        <f t="shared" ca="1" si="10"/>
        <v>14</v>
      </c>
      <c r="P141" s="723">
        <f t="shared" ca="1" si="11"/>
        <v>16730.966666666667</v>
      </c>
      <c r="Q141" s="720" t="s">
        <v>4705</v>
      </c>
    </row>
    <row r="142" spans="2:17" ht="30" x14ac:dyDescent="0.25">
      <c r="B142" s="719">
        <v>44889</v>
      </c>
      <c r="C142" s="719">
        <v>44889</v>
      </c>
      <c r="D142" s="720" t="s">
        <v>4700</v>
      </c>
      <c r="E142" s="639" t="s">
        <v>4801</v>
      </c>
      <c r="F142" s="721" t="s">
        <v>4802</v>
      </c>
      <c r="G142" s="720" t="s">
        <v>4709</v>
      </c>
      <c r="H142" s="721" t="s">
        <v>3880</v>
      </c>
      <c r="I142" s="720" t="s">
        <v>4704</v>
      </c>
      <c r="J142" s="722">
        <v>21823</v>
      </c>
      <c r="K142" s="722">
        <v>54.38</v>
      </c>
      <c r="L142" s="723">
        <f t="shared" si="8"/>
        <v>401.30562706877527</v>
      </c>
      <c r="M142" s="720">
        <v>60</v>
      </c>
      <c r="N142" s="724">
        <f t="shared" si="9"/>
        <v>363.71666666666664</v>
      </c>
      <c r="O142" s="725">
        <f t="shared" ca="1" si="10"/>
        <v>14</v>
      </c>
      <c r="P142" s="723">
        <f t="shared" ca="1" si="11"/>
        <v>16730.966666666667</v>
      </c>
      <c r="Q142" s="720" t="s">
        <v>4705</v>
      </c>
    </row>
    <row r="143" spans="2:17" ht="30" x14ac:dyDescent="0.25">
      <c r="B143" s="719">
        <v>44889</v>
      </c>
      <c r="C143" s="719">
        <v>44889</v>
      </c>
      <c r="D143" s="720" t="s">
        <v>4700</v>
      </c>
      <c r="E143" s="639" t="s">
        <v>4803</v>
      </c>
      <c r="F143" s="721" t="s">
        <v>4802</v>
      </c>
      <c r="G143" s="720" t="s">
        <v>4709</v>
      </c>
      <c r="H143" s="721" t="s">
        <v>3880</v>
      </c>
      <c r="I143" s="720" t="s">
        <v>4704</v>
      </c>
      <c r="J143" s="722">
        <v>21823</v>
      </c>
      <c r="K143" s="722">
        <v>54.38</v>
      </c>
      <c r="L143" s="723">
        <f t="shared" si="8"/>
        <v>401.30562706877527</v>
      </c>
      <c r="M143" s="720">
        <v>60</v>
      </c>
      <c r="N143" s="724">
        <f t="shared" si="9"/>
        <v>363.71666666666664</v>
      </c>
      <c r="O143" s="725">
        <f t="shared" ca="1" si="10"/>
        <v>14</v>
      </c>
      <c r="P143" s="723">
        <f t="shared" ca="1" si="11"/>
        <v>16730.966666666667</v>
      </c>
      <c r="Q143" s="720" t="s">
        <v>4705</v>
      </c>
    </row>
    <row r="144" spans="2:17" ht="30" x14ac:dyDescent="0.25">
      <c r="B144" s="719">
        <v>44889</v>
      </c>
      <c r="C144" s="719">
        <v>44889</v>
      </c>
      <c r="D144" s="720" t="s">
        <v>4700</v>
      </c>
      <c r="E144" s="639" t="s">
        <v>4804</v>
      </c>
      <c r="F144" s="721" t="s">
        <v>4802</v>
      </c>
      <c r="G144" s="720" t="s">
        <v>4709</v>
      </c>
      <c r="H144" s="721" t="s">
        <v>3880</v>
      </c>
      <c r="I144" s="720" t="s">
        <v>4704</v>
      </c>
      <c r="J144" s="722">
        <v>21823</v>
      </c>
      <c r="K144" s="722">
        <v>54.38</v>
      </c>
      <c r="L144" s="723">
        <f t="shared" si="8"/>
        <v>401.30562706877527</v>
      </c>
      <c r="M144" s="720">
        <v>60</v>
      </c>
      <c r="N144" s="724">
        <f t="shared" si="9"/>
        <v>363.71666666666664</v>
      </c>
      <c r="O144" s="725">
        <f t="shared" ca="1" si="10"/>
        <v>14</v>
      </c>
      <c r="P144" s="723">
        <f t="shared" ca="1" si="11"/>
        <v>16730.966666666667</v>
      </c>
      <c r="Q144" s="720" t="s">
        <v>4705</v>
      </c>
    </row>
    <row r="145" spans="2:17" ht="30" x14ac:dyDescent="0.25">
      <c r="B145" s="719">
        <v>44889</v>
      </c>
      <c r="C145" s="719">
        <v>44889</v>
      </c>
      <c r="D145" s="720" t="s">
        <v>4700</v>
      </c>
      <c r="E145" s="639" t="s">
        <v>4805</v>
      </c>
      <c r="F145" s="721" t="s">
        <v>4802</v>
      </c>
      <c r="G145" s="720" t="s">
        <v>4709</v>
      </c>
      <c r="H145" s="721" t="s">
        <v>3880</v>
      </c>
      <c r="I145" s="720" t="s">
        <v>4704</v>
      </c>
      <c r="J145" s="722">
        <v>21823</v>
      </c>
      <c r="K145" s="722">
        <v>54.38</v>
      </c>
      <c r="L145" s="723">
        <f t="shared" si="8"/>
        <v>401.30562706877527</v>
      </c>
      <c r="M145" s="720">
        <v>60</v>
      </c>
      <c r="N145" s="724">
        <f t="shared" si="9"/>
        <v>363.71666666666664</v>
      </c>
      <c r="O145" s="725">
        <f t="shared" ca="1" si="10"/>
        <v>14</v>
      </c>
      <c r="P145" s="723">
        <f t="shared" ca="1" si="11"/>
        <v>16730.966666666667</v>
      </c>
      <c r="Q145" s="720" t="s">
        <v>4705</v>
      </c>
    </row>
    <row r="146" spans="2:17" ht="30" x14ac:dyDescent="0.25">
      <c r="B146" s="719">
        <v>44889</v>
      </c>
      <c r="C146" s="719">
        <v>44889</v>
      </c>
      <c r="D146" s="720" t="s">
        <v>4700</v>
      </c>
      <c r="E146" s="639" t="s">
        <v>4806</v>
      </c>
      <c r="F146" s="721" t="s">
        <v>4802</v>
      </c>
      <c r="G146" s="720" t="s">
        <v>4709</v>
      </c>
      <c r="H146" s="721" t="s">
        <v>3880</v>
      </c>
      <c r="I146" s="720" t="s">
        <v>4704</v>
      </c>
      <c r="J146" s="722">
        <v>21823</v>
      </c>
      <c r="K146" s="722">
        <v>54.38</v>
      </c>
      <c r="L146" s="723">
        <f t="shared" si="8"/>
        <v>401.30562706877527</v>
      </c>
      <c r="M146" s="720">
        <v>60</v>
      </c>
      <c r="N146" s="724">
        <f t="shared" si="9"/>
        <v>363.71666666666664</v>
      </c>
      <c r="O146" s="725">
        <f t="shared" ca="1" si="10"/>
        <v>14</v>
      </c>
      <c r="P146" s="723">
        <f t="shared" ca="1" si="11"/>
        <v>16730.966666666667</v>
      </c>
      <c r="Q146" s="720" t="s">
        <v>4705</v>
      </c>
    </row>
    <row r="147" spans="2:17" ht="30" x14ac:dyDescent="0.25">
      <c r="B147" s="719">
        <v>44889</v>
      </c>
      <c r="C147" s="719">
        <v>44889</v>
      </c>
      <c r="D147" s="720" t="s">
        <v>4700</v>
      </c>
      <c r="E147" s="639" t="s">
        <v>4807</v>
      </c>
      <c r="F147" s="721" t="s">
        <v>4802</v>
      </c>
      <c r="G147" s="720" t="s">
        <v>4709</v>
      </c>
      <c r="H147" s="721" t="s">
        <v>3880</v>
      </c>
      <c r="I147" s="720" t="s">
        <v>4704</v>
      </c>
      <c r="J147" s="722">
        <v>21823</v>
      </c>
      <c r="K147" s="722">
        <v>54.38</v>
      </c>
      <c r="L147" s="723">
        <f t="shared" si="8"/>
        <v>401.30562706877527</v>
      </c>
      <c r="M147" s="720">
        <v>60</v>
      </c>
      <c r="N147" s="724">
        <f t="shared" si="9"/>
        <v>363.71666666666664</v>
      </c>
      <c r="O147" s="725">
        <f t="shared" ca="1" si="10"/>
        <v>14</v>
      </c>
      <c r="P147" s="723">
        <f t="shared" ca="1" si="11"/>
        <v>16730.966666666667</v>
      </c>
      <c r="Q147" s="720" t="s">
        <v>4705</v>
      </c>
    </row>
    <row r="148" spans="2:17" ht="30" x14ac:dyDescent="0.25">
      <c r="B148" s="719">
        <v>44889</v>
      </c>
      <c r="C148" s="719">
        <v>44889</v>
      </c>
      <c r="D148" s="720" t="s">
        <v>4700</v>
      </c>
      <c r="E148" s="639" t="s">
        <v>4808</v>
      </c>
      <c r="F148" s="721" t="s">
        <v>4802</v>
      </c>
      <c r="G148" s="720" t="s">
        <v>4709</v>
      </c>
      <c r="H148" s="721" t="s">
        <v>3880</v>
      </c>
      <c r="I148" s="720" t="s">
        <v>4704</v>
      </c>
      <c r="J148" s="722">
        <v>21823</v>
      </c>
      <c r="K148" s="722">
        <v>54.38</v>
      </c>
      <c r="L148" s="723">
        <f t="shared" si="8"/>
        <v>401.30562706877527</v>
      </c>
      <c r="M148" s="720">
        <v>60</v>
      </c>
      <c r="N148" s="724">
        <f t="shared" si="9"/>
        <v>363.71666666666664</v>
      </c>
      <c r="O148" s="725">
        <f t="shared" ca="1" si="10"/>
        <v>14</v>
      </c>
      <c r="P148" s="723">
        <f t="shared" ca="1" si="11"/>
        <v>16730.966666666667</v>
      </c>
      <c r="Q148" s="720" t="s">
        <v>4705</v>
      </c>
    </row>
    <row r="149" spans="2:17" ht="30" x14ac:dyDescent="0.25">
      <c r="B149" s="719">
        <v>44889</v>
      </c>
      <c r="C149" s="719">
        <v>44889</v>
      </c>
      <c r="D149" s="720" t="s">
        <v>4700</v>
      </c>
      <c r="E149" s="639" t="s">
        <v>4809</v>
      </c>
      <c r="F149" s="721" t="s">
        <v>4802</v>
      </c>
      <c r="G149" s="720" t="s">
        <v>4709</v>
      </c>
      <c r="H149" s="721" t="s">
        <v>3880</v>
      </c>
      <c r="I149" s="720" t="s">
        <v>4704</v>
      </c>
      <c r="J149" s="722">
        <v>21823</v>
      </c>
      <c r="K149" s="722">
        <v>54.38</v>
      </c>
      <c r="L149" s="723">
        <f t="shared" si="8"/>
        <v>401.30562706877527</v>
      </c>
      <c r="M149" s="720">
        <v>60</v>
      </c>
      <c r="N149" s="724">
        <f t="shared" si="9"/>
        <v>363.71666666666664</v>
      </c>
      <c r="O149" s="725">
        <f t="shared" ca="1" si="10"/>
        <v>14</v>
      </c>
      <c r="P149" s="723">
        <f t="shared" ca="1" si="11"/>
        <v>16730.966666666667</v>
      </c>
      <c r="Q149" s="720" t="s">
        <v>4705</v>
      </c>
    </row>
    <row r="150" spans="2:17" ht="30" x14ac:dyDescent="0.25">
      <c r="B150" s="719">
        <v>44889</v>
      </c>
      <c r="C150" s="719">
        <v>44889</v>
      </c>
      <c r="D150" s="720" t="s">
        <v>4700</v>
      </c>
      <c r="E150" s="639" t="s">
        <v>4810</v>
      </c>
      <c r="F150" s="721" t="s">
        <v>4802</v>
      </c>
      <c r="G150" s="720" t="s">
        <v>4709</v>
      </c>
      <c r="H150" s="721" t="s">
        <v>3880</v>
      </c>
      <c r="I150" s="720" t="s">
        <v>4704</v>
      </c>
      <c r="J150" s="722">
        <v>21823</v>
      </c>
      <c r="K150" s="722">
        <v>54.38</v>
      </c>
      <c r="L150" s="723">
        <f t="shared" si="8"/>
        <v>401.30562706877527</v>
      </c>
      <c r="M150" s="720">
        <v>60</v>
      </c>
      <c r="N150" s="724">
        <f t="shared" si="9"/>
        <v>363.71666666666664</v>
      </c>
      <c r="O150" s="725">
        <f t="shared" ca="1" si="10"/>
        <v>14</v>
      </c>
      <c r="P150" s="723">
        <f t="shared" ca="1" si="11"/>
        <v>16730.966666666667</v>
      </c>
      <c r="Q150" s="720" t="s">
        <v>4705</v>
      </c>
    </row>
    <row r="151" spans="2:17" ht="30" x14ac:dyDescent="0.25">
      <c r="B151" s="719">
        <v>44889</v>
      </c>
      <c r="C151" s="719">
        <v>44889</v>
      </c>
      <c r="D151" s="720" t="s">
        <v>4700</v>
      </c>
      <c r="E151" s="639" t="s">
        <v>4811</v>
      </c>
      <c r="F151" s="721" t="s">
        <v>4802</v>
      </c>
      <c r="G151" s="720" t="s">
        <v>4709</v>
      </c>
      <c r="H151" s="721" t="s">
        <v>3880</v>
      </c>
      <c r="I151" s="720" t="s">
        <v>4704</v>
      </c>
      <c r="J151" s="722">
        <v>21823</v>
      </c>
      <c r="K151" s="722">
        <v>54.38</v>
      </c>
      <c r="L151" s="723">
        <f t="shared" si="8"/>
        <v>401.30562706877527</v>
      </c>
      <c r="M151" s="720">
        <v>60</v>
      </c>
      <c r="N151" s="724">
        <f t="shared" si="9"/>
        <v>363.71666666666664</v>
      </c>
      <c r="O151" s="725">
        <f t="shared" ca="1" si="10"/>
        <v>14</v>
      </c>
      <c r="P151" s="723">
        <f t="shared" ca="1" si="11"/>
        <v>16730.966666666667</v>
      </c>
      <c r="Q151" s="720" t="s">
        <v>4705</v>
      </c>
    </row>
    <row r="152" spans="2:17" ht="30" x14ac:dyDescent="0.25">
      <c r="B152" s="719">
        <v>44889</v>
      </c>
      <c r="C152" s="719">
        <v>44889</v>
      </c>
      <c r="D152" s="720" t="s">
        <v>4700</v>
      </c>
      <c r="E152" s="639" t="s">
        <v>4812</v>
      </c>
      <c r="F152" s="721" t="s">
        <v>4802</v>
      </c>
      <c r="G152" s="720" t="s">
        <v>4709</v>
      </c>
      <c r="H152" s="721" t="s">
        <v>3880</v>
      </c>
      <c r="I152" s="720" t="s">
        <v>4704</v>
      </c>
      <c r="J152" s="722">
        <v>21823</v>
      </c>
      <c r="K152" s="722">
        <v>54.38</v>
      </c>
      <c r="L152" s="723">
        <f t="shared" si="8"/>
        <v>401.30562706877527</v>
      </c>
      <c r="M152" s="720">
        <v>60</v>
      </c>
      <c r="N152" s="724">
        <f t="shared" si="9"/>
        <v>363.71666666666664</v>
      </c>
      <c r="O152" s="725">
        <f t="shared" ca="1" si="10"/>
        <v>14</v>
      </c>
      <c r="P152" s="723">
        <f t="shared" ca="1" si="11"/>
        <v>16730.966666666667</v>
      </c>
      <c r="Q152" s="720" t="s">
        <v>4705</v>
      </c>
    </row>
    <row r="153" spans="2:17" ht="30" x14ac:dyDescent="0.25">
      <c r="B153" s="719">
        <v>44889</v>
      </c>
      <c r="C153" s="719">
        <v>44889</v>
      </c>
      <c r="D153" s="720" t="s">
        <v>4700</v>
      </c>
      <c r="E153" s="639" t="s">
        <v>4813</v>
      </c>
      <c r="F153" s="721" t="s">
        <v>4802</v>
      </c>
      <c r="G153" s="720" t="s">
        <v>4709</v>
      </c>
      <c r="H153" s="721" t="s">
        <v>3880</v>
      </c>
      <c r="I153" s="720" t="s">
        <v>4704</v>
      </c>
      <c r="J153" s="722">
        <v>21823</v>
      </c>
      <c r="K153" s="722">
        <v>54.38</v>
      </c>
      <c r="L153" s="723">
        <f t="shared" si="8"/>
        <v>401.30562706877527</v>
      </c>
      <c r="M153" s="720">
        <v>60</v>
      </c>
      <c r="N153" s="724">
        <f t="shared" si="9"/>
        <v>363.71666666666664</v>
      </c>
      <c r="O153" s="725">
        <f t="shared" ca="1" si="10"/>
        <v>14</v>
      </c>
      <c r="P153" s="723">
        <f t="shared" ca="1" si="11"/>
        <v>16730.966666666667</v>
      </c>
      <c r="Q153" s="720" t="s">
        <v>4705</v>
      </c>
    </row>
    <row r="154" spans="2:17" ht="30" x14ac:dyDescent="0.25">
      <c r="B154" s="719">
        <v>44889</v>
      </c>
      <c r="C154" s="719">
        <v>44889</v>
      </c>
      <c r="D154" s="720" t="s">
        <v>4700</v>
      </c>
      <c r="E154" s="639" t="s">
        <v>4814</v>
      </c>
      <c r="F154" s="721" t="s">
        <v>4802</v>
      </c>
      <c r="G154" s="720" t="s">
        <v>4709</v>
      </c>
      <c r="H154" s="721" t="s">
        <v>3880</v>
      </c>
      <c r="I154" s="720" t="s">
        <v>4704</v>
      </c>
      <c r="J154" s="722">
        <v>21823</v>
      </c>
      <c r="K154" s="722">
        <v>54.38</v>
      </c>
      <c r="L154" s="723">
        <f t="shared" si="8"/>
        <v>401.30562706877527</v>
      </c>
      <c r="M154" s="720">
        <v>60</v>
      </c>
      <c r="N154" s="724">
        <f t="shared" si="9"/>
        <v>363.71666666666664</v>
      </c>
      <c r="O154" s="725">
        <f t="shared" ca="1" si="10"/>
        <v>14</v>
      </c>
      <c r="P154" s="723">
        <f t="shared" ca="1" si="11"/>
        <v>16730.966666666667</v>
      </c>
      <c r="Q154" s="720" t="s">
        <v>4705</v>
      </c>
    </row>
    <row r="155" spans="2:17" ht="30" x14ac:dyDescent="0.25">
      <c r="B155" s="719">
        <v>44889</v>
      </c>
      <c r="C155" s="719">
        <v>44889</v>
      </c>
      <c r="D155" s="720" t="s">
        <v>4700</v>
      </c>
      <c r="E155" s="639" t="s">
        <v>4815</v>
      </c>
      <c r="F155" s="721" t="s">
        <v>4802</v>
      </c>
      <c r="G155" s="720" t="s">
        <v>4709</v>
      </c>
      <c r="H155" s="721" t="s">
        <v>3880</v>
      </c>
      <c r="I155" s="720" t="s">
        <v>4704</v>
      </c>
      <c r="J155" s="722">
        <v>21823</v>
      </c>
      <c r="K155" s="722">
        <v>54.38</v>
      </c>
      <c r="L155" s="723">
        <f t="shared" si="8"/>
        <v>401.30562706877527</v>
      </c>
      <c r="M155" s="720">
        <v>60</v>
      </c>
      <c r="N155" s="724">
        <f t="shared" si="9"/>
        <v>363.71666666666664</v>
      </c>
      <c r="O155" s="725">
        <f t="shared" ca="1" si="10"/>
        <v>14</v>
      </c>
      <c r="P155" s="723">
        <f t="shared" ca="1" si="11"/>
        <v>16730.966666666667</v>
      </c>
      <c r="Q155" s="720" t="s">
        <v>4705</v>
      </c>
    </row>
    <row r="156" spans="2:17" ht="30" x14ac:dyDescent="0.25">
      <c r="B156" s="719">
        <v>44889</v>
      </c>
      <c r="C156" s="719">
        <v>44889</v>
      </c>
      <c r="D156" s="720" t="s">
        <v>4700</v>
      </c>
      <c r="E156" s="639" t="s">
        <v>4816</v>
      </c>
      <c r="F156" s="721" t="s">
        <v>4802</v>
      </c>
      <c r="G156" s="720" t="s">
        <v>4709</v>
      </c>
      <c r="H156" s="721" t="s">
        <v>3880</v>
      </c>
      <c r="I156" s="720" t="s">
        <v>4704</v>
      </c>
      <c r="J156" s="722">
        <v>21823</v>
      </c>
      <c r="K156" s="722">
        <v>54.38</v>
      </c>
      <c r="L156" s="723">
        <f t="shared" si="8"/>
        <v>401.30562706877527</v>
      </c>
      <c r="M156" s="720">
        <v>60</v>
      </c>
      <c r="N156" s="724">
        <f t="shared" si="9"/>
        <v>363.71666666666664</v>
      </c>
      <c r="O156" s="725">
        <f t="shared" ca="1" si="10"/>
        <v>14</v>
      </c>
      <c r="P156" s="723">
        <f t="shared" ca="1" si="11"/>
        <v>16730.966666666667</v>
      </c>
      <c r="Q156" s="720" t="s">
        <v>4705</v>
      </c>
    </row>
    <row r="157" spans="2:17" ht="30" x14ac:dyDescent="0.25">
      <c r="B157" s="719">
        <v>44889</v>
      </c>
      <c r="C157" s="719">
        <v>44889</v>
      </c>
      <c r="D157" s="720" t="s">
        <v>4700</v>
      </c>
      <c r="E157" s="639" t="s">
        <v>4817</v>
      </c>
      <c r="F157" s="721" t="s">
        <v>4802</v>
      </c>
      <c r="G157" s="720" t="s">
        <v>4709</v>
      </c>
      <c r="H157" s="721" t="s">
        <v>3880</v>
      </c>
      <c r="I157" s="720" t="s">
        <v>4704</v>
      </c>
      <c r="J157" s="722">
        <v>21823</v>
      </c>
      <c r="K157" s="722">
        <v>54.38</v>
      </c>
      <c r="L157" s="723">
        <f t="shared" si="8"/>
        <v>401.30562706877527</v>
      </c>
      <c r="M157" s="720">
        <v>60</v>
      </c>
      <c r="N157" s="724">
        <f t="shared" si="9"/>
        <v>363.71666666666664</v>
      </c>
      <c r="O157" s="725">
        <f t="shared" ca="1" si="10"/>
        <v>14</v>
      </c>
      <c r="P157" s="723">
        <f t="shared" ca="1" si="11"/>
        <v>16730.966666666667</v>
      </c>
      <c r="Q157" s="720" t="s">
        <v>4705</v>
      </c>
    </row>
    <row r="158" spans="2:17" ht="30" x14ac:dyDescent="0.25">
      <c r="B158" s="719">
        <v>44889</v>
      </c>
      <c r="C158" s="719">
        <v>44889</v>
      </c>
      <c r="D158" s="720" t="s">
        <v>4700</v>
      </c>
      <c r="E158" s="639" t="s">
        <v>4818</v>
      </c>
      <c r="F158" s="721" t="s">
        <v>4802</v>
      </c>
      <c r="G158" s="720" t="s">
        <v>4709</v>
      </c>
      <c r="H158" s="721" t="s">
        <v>3880</v>
      </c>
      <c r="I158" s="720" t="s">
        <v>4704</v>
      </c>
      <c r="J158" s="722">
        <v>21823</v>
      </c>
      <c r="K158" s="722">
        <v>54.38</v>
      </c>
      <c r="L158" s="723">
        <f t="shared" si="8"/>
        <v>401.30562706877527</v>
      </c>
      <c r="M158" s="720">
        <v>60</v>
      </c>
      <c r="N158" s="724">
        <f t="shared" si="9"/>
        <v>363.71666666666664</v>
      </c>
      <c r="O158" s="725">
        <f t="shared" ca="1" si="10"/>
        <v>14</v>
      </c>
      <c r="P158" s="723">
        <f t="shared" ca="1" si="11"/>
        <v>16730.966666666667</v>
      </c>
      <c r="Q158" s="720" t="s">
        <v>4705</v>
      </c>
    </row>
    <row r="159" spans="2:17" ht="30" x14ac:dyDescent="0.25">
      <c r="B159" s="719">
        <v>44889</v>
      </c>
      <c r="C159" s="719">
        <v>44889</v>
      </c>
      <c r="D159" s="720" t="s">
        <v>4700</v>
      </c>
      <c r="E159" s="639" t="s">
        <v>4819</v>
      </c>
      <c r="F159" s="721" t="s">
        <v>4802</v>
      </c>
      <c r="G159" s="720" t="s">
        <v>4709</v>
      </c>
      <c r="H159" s="721" t="s">
        <v>3880</v>
      </c>
      <c r="I159" s="720" t="s">
        <v>4704</v>
      </c>
      <c r="J159" s="722">
        <v>21823</v>
      </c>
      <c r="K159" s="722">
        <v>54.38</v>
      </c>
      <c r="L159" s="723">
        <f t="shared" si="8"/>
        <v>401.30562706877527</v>
      </c>
      <c r="M159" s="720">
        <v>60</v>
      </c>
      <c r="N159" s="724">
        <f t="shared" si="9"/>
        <v>363.71666666666664</v>
      </c>
      <c r="O159" s="725">
        <f t="shared" ca="1" si="10"/>
        <v>14</v>
      </c>
      <c r="P159" s="723">
        <f t="shared" ca="1" si="11"/>
        <v>16730.966666666667</v>
      </c>
      <c r="Q159" s="720" t="s">
        <v>4705</v>
      </c>
    </row>
    <row r="160" spans="2:17" ht="30" x14ac:dyDescent="0.25">
      <c r="B160" s="719">
        <v>44889</v>
      </c>
      <c r="C160" s="719">
        <v>44889</v>
      </c>
      <c r="D160" s="720" t="s">
        <v>4700</v>
      </c>
      <c r="E160" s="639" t="s">
        <v>4820</v>
      </c>
      <c r="F160" s="721" t="s">
        <v>4802</v>
      </c>
      <c r="G160" s="720" t="s">
        <v>4709</v>
      </c>
      <c r="H160" s="721" t="s">
        <v>3880</v>
      </c>
      <c r="I160" s="720" t="s">
        <v>4704</v>
      </c>
      <c r="J160" s="722">
        <v>21823</v>
      </c>
      <c r="K160" s="722">
        <v>54.38</v>
      </c>
      <c r="L160" s="723">
        <f t="shared" si="8"/>
        <v>401.30562706877527</v>
      </c>
      <c r="M160" s="720">
        <v>60</v>
      </c>
      <c r="N160" s="724">
        <f t="shared" si="9"/>
        <v>363.71666666666664</v>
      </c>
      <c r="O160" s="725">
        <f t="shared" ca="1" si="10"/>
        <v>14</v>
      </c>
      <c r="P160" s="723">
        <f t="shared" ca="1" si="11"/>
        <v>16730.966666666667</v>
      </c>
      <c r="Q160" s="720" t="s">
        <v>4705</v>
      </c>
    </row>
    <row r="161" spans="2:17" ht="30" x14ac:dyDescent="0.25">
      <c r="B161" s="719">
        <v>44889</v>
      </c>
      <c r="C161" s="719">
        <v>44889</v>
      </c>
      <c r="D161" s="720" t="s">
        <v>4700</v>
      </c>
      <c r="E161" s="639" t="s">
        <v>4821</v>
      </c>
      <c r="F161" s="721" t="s">
        <v>4802</v>
      </c>
      <c r="G161" s="720" t="s">
        <v>4709</v>
      </c>
      <c r="H161" s="721" t="s">
        <v>3880</v>
      </c>
      <c r="I161" s="720" t="s">
        <v>4704</v>
      </c>
      <c r="J161" s="722">
        <v>21823</v>
      </c>
      <c r="K161" s="722">
        <v>54.38</v>
      </c>
      <c r="L161" s="723">
        <f t="shared" si="8"/>
        <v>401.30562706877527</v>
      </c>
      <c r="M161" s="720">
        <v>60</v>
      </c>
      <c r="N161" s="724">
        <f t="shared" si="9"/>
        <v>363.71666666666664</v>
      </c>
      <c r="O161" s="725">
        <f t="shared" ca="1" si="10"/>
        <v>14</v>
      </c>
      <c r="P161" s="723">
        <f t="shared" ca="1" si="11"/>
        <v>16730.966666666667</v>
      </c>
      <c r="Q161" s="720" t="s">
        <v>4705</v>
      </c>
    </row>
    <row r="162" spans="2:17" ht="30" x14ac:dyDescent="0.25">
      <c r="B162" s="719">
        <v>44889</v>
      </c>
      <c r="C162" s="719">
        <v>44889</v>
      </c>
      <c r="D162" s="720" t="s">
        <v>4700</v>
      </c>
      <c r="E162" s="639" t="s">
        <v>4822</v>
      </c>
      <c r="F162" s="721" t="s">
        <v>4802</v>
      </c>
      <c r="G162" s="720" t="s">
        <v>4709</v>
      </c>
      <c r="H162" s="721" t="s">
        <v>3880</v>
      </c>
      <c r="I162" s="720" t="s">
        <v>4704</v>
      </c>
      <c r="J162" s="722">
        <v>21823</v>
      </c>
      <c r="K162" s="722">
        <v>54.38</v>
      </c>
      <c r="L162" s="723">
        <f t="shared" si="8"/>
        <v>401.30562706877527</v>
      </c>
      <c r="M162" s="720">
        <v>60</v>
      </c>
      <c r="N162" s="724">
        <f t="shared" si="9"/>
        <v>363.71666666666664</v>
      </c>
      <c r="O162" s="725">
        <f t="shared" ca="1" si="10"/>
        <v>14</v>
      </c>
      <c r="P162" s="723">
        <f t="shared" ca="1" si="11"/>
        <v>16730.966666666667</v>
      </c>
      <c r="Q162" s="720" t="s">
        <v>4705</v>
      </c>
    </row>
    <row r="163" spans="2:17" ht="30" x14ac:dyDescent="0.25">
      <c r="B163" s="719">
        <v>44889</v>
      </c>
      <c r="C163" s="719">
        <v>44889</v>
      </c>
      <c r="D163" s="720" t="s">
        <v>4700</v>
      </c>
      <c r="E163" s="639" t="s">
        <v>4823</v>
      </c>
      <c r="F163" s="721" t="s">
        <v>4802</v>
      </c>
      <c r="G163" s="720" t="s">
        <v>4709</v>
      </c>
      <c r="H163" s="721" t="s">
        <v>3880</v>
      </c>
      <c r="I163" s="720" t="s">
        <v>4704</v>
      </c>
      <c r="J163" s="722">
        <v>21823</v>
      </c>
      <c r="K163" s="722">
        <v>54.38</v>
      </c>
      <c r="L163" s="723">
        <f t="shared" si="8"/>
        <v>401.30562706877527</v>
      </c>
      <c r="M163" s="720">
        <v>60</v>
      </c>
      <c r="N163" s="724">
        <f t="shared" si="9"/>
        <v>363.71666666666664</v>
      </c>
      <c r="O163" s="725">
        <f t="shared" ca="1" si="10"/>
        <v>14</v>
      </c>
      <c r="P163" s="723">
        <f t="shared" ca="1" si="11"/>
        <v>16730.966666666667</v>
      </c>
      <c r="Q163" s="720" t="s">
        <v>4705</v>
      </c>
    </row>
    <row r="164" spans="2:17" ht="30" x14ac:dyDescent="0.25">
      <c r="B164" s="719">
        <v>44889</v>
      </c>
      <c r="C164" s="719">
        <v>44889</v>
      </c>
      <c r="D164" s="720" t="s">
        <v>4700</v>
      </c>
      <c r="E164" s="639" t="s">
        <v>4824</v>
      </c>
      <c r="F164" s="721" t="s">
        <v>4802</v>
      </c>
      <c r="G164" s="720" t="s">
        <v>4709</v>
      </c>
      <c r="H164" s="721" t="s">
        <v>3880</v>
      </c>
      <c r="I164" s="720" t="s">
        <v>4704</v>
      </c>
      <c r="J164" s="722">
        <v>21823</v>
      </c>
      <c r="K164" s="722">
        <v>54.38</v>
      </c>
      <c r="L164" s="723">
        <f t="shared" si="8"/>
        <v>401.30562706877527</v>
      </c>
      <c r="M164" s="720">
        <v>60</v>
      </c>
      <c r="N164" s="724">
        <f t="shared" si="9"/>
        <v>363.71666666666664</v>
      </c>
      <c r="O164" s="725">
        <f t="shared" ca="1" si="10"/>
        <v>14</v>
      </c>
      <c r="P164" s="723">
        <f t="shared" ca="1" si="11"/>
        <v>16730.966666666667</v>
      </c>
      <c r="Q164" s="720" t="s">
        <v>4705</v>
      </c>
    </row>
    <row r="165" spans="2:17" ht="30" x14ac:dyDescent="0.25">
      <c r="B165" s="719">
        <v>44889</v>
      </c>
      <c r="C165" s="719">
        <v>44889</v>
      </c>
      <c r="D165" s="720" t="s">
        <v>4700</v>
      </c>
      <c r="E165" s="639" t="s">
        <v>4825</v>
      </c>
      <c r="F165" s="721" t="s">
        <v>4802</v>
      </c>
      <c r="G165" s="720" t="s">
        <v>4709</v>
      </c>
      <c r="H165" s="721" t="s">
        <v>3880</v>
      </c>
      <c r="I165" s="720" t="s">
        <v>4704</v>
      </c>
      <c r="J165" s="722">
        <v>21823</v>
      </c>
      <c r="K165" s="722">
        <v>54.38</v>
      </c>
      <c r="L165" s="723">
        <f t="shared" si="8"/>
        <v>401.30562706877527</v>
      </c>
      <c r="M165" s="720">
        <v>60</v>
      </c>
      <c r="N165" s="724">
        <f t="shared" si="9"/>
        <v>363.71666666666664</v>
      </c>
      <c r="O165" s="725">
        <f t="shared" ca="1" si="10"/>
        <v>14</v>
      </c>
      <c r="P165" s="723">
        <f t="shared" ca="1" si="11"/>
        <v>16730.966666666667</v>
      </c>
      <c r="Q165" s="720" t="s">
        <v>4705</v>
      </c>
    </row>
    <row r="166" spans="2:17" ht="30" x14ac:dyDescent="0.25">
      <c r="B166" s="719">
        <v>44889</v>
      </c>
      <c r="C166" s="719">
        <v>44889</v>
      </c>
      <c r="D166" s="720" t="s">
        <v>4700</v>
      </c>
      <c r="E166" s="639" t="s">
        <v>4826</v>
      </c>
      <c r="F166" s="721" t="s">
        <v>4802</v>
      </c>
      <c r="G166" s="720" t="s">
        <v>4709</v>
      </c>
      <c r="H166" s="721" t="s">
        <v>3880</v>
      </c>
      <c r="I166" s="720" t="s">
        <v>4704</v>
      </c>
      <c r="J166" s="722">
        <v>21823</v>
      </c>
      <c r="K166" s="722">
        <v>54.38</v>
      </c>
      <c r="L166" s="723">
        <f t="shared" si="8"/>
        <v>401.30562706877527</v>
      </c>
      <c r="M166" s="720">
        <v>60</v>
      </c>
      <c r="N166" s="724">
        <f t="shared" si="9"/>
        <v>363.71666666666664</v>
      </c>
      <c r="O166" s="725">
        <f t="shared" ca="1" si="10"/>
        <v>14</v>
      </c>
      <c r="P166" s="723">
        <f t="shared" ca="1" si="11"/>
        <v>16730.966666666667</v>
      </c>
      <c r="Q166" s="720" t="s">
        <v>4705</v>
      </c>
    </row>
    <row r="167" spans="2:17" ht="30" x14ac:dyDescent="0.25">
      <c r="B167" s="719">
        <v>44889</v>
      </c>
      <c r="C167" s="719">
        <v>44889</v>
      </c>
      <c r="D167" s="720" t="s">
        <v>4700</v>
      </c>
      <c r="E167" s="639" t="s">
        <v>4827</v>
      </c>
      <c r="F167" s="721" t="s">
        <v>4802</v>
      </c>
      <c r="G167" s="720" t="s">
        <v>4709</v>
      </c>
      <c r="H167" s="721" t="s">
        <v>3880</v>
      </c>
      <c r="I167" s="720" t="s">
        <v>4704</v>
      </c>
      <c r="J167" s="722">
        <v>21823</v>
      </c>
      <c r="K167" s="722">
        <v>54.38</v>
      </c>
      <c r="L167" s="723">
        <f t="shared" si="8"/>
        <v>401.30562706877527</v>
      </c>
      <c r="M167" s="720">
        <v>60</v>
      </c>
      <c r="N167" s="724">
        <f t="shared" si="9"/>
        <v>363.71666666666664</v>
      </c>
      <c r="O167" s="725">
        <f t="shared" ca="1" si="10"/>
        <v>14</v>
      </c>
      <c r="P167" s="723">
        <f t="shared" ca="1" si="11"/>
        <v>16730.966666666667</v>
      </c>
      <c r="Q167" s="720" t="s">
        <v>4705</v>
      </c>
    </row>
    <row r="168" spans="2:17" ht="30" x14ac:dyDescent="0.25">
      <c r="B168" s="719">
        <v>44889</v>
      </c>
      <c r="C168" s="719">
        <v>44889</v>
      </c>
      <c r="D168" s="720" t="s">
        <v>4700</v>
      </c>
      <c r="E168" s="639" t="s">
        <v>4828</v>
      </c>
      <c r="F168" s="721" t="s">
        <v>4802</v>
      </c>
      <c r="G168" s="720" t="s">
        <v>4709</v>
      </c>
      <c r="H168" s="721" t="s">
        <v>3880</v>
      </c>
      <c r="I168" s="720" t="s">
        <v>4704</v>
      </c>
      <c r="J168" s="722">
        <v>21823</v>
      </c>
      <c r="K168" s="722">
        <v>54.38</v>
      </c>
      <c r="L168" s="723">
        <f t="shared" si="8"/>
        <v>401.30562706877527</v>
      </c>
      <c r="M168" s="720">
        <v>60</v>
      </c>
      <c r="N168" s="724">
        <f t="shared" si="9"/>
        <v>363.71666666666664</v>
      </c>
      <c r="O168" s="725">
        <f t="shared" ca="1" si="10"/>
        <v>14</v>
      </c>
      <c r="P168" s="723">
        <f t="shared" ca="1" si="11"/>
        <v>16730.966666666667</v>
      </c>
      <c r="Q168" s="720" t="s">
        <v>4705</v>
      </c>
    </row>
    <row r="169" spans="2:17" ht="30" x14ac:dyDescent="0.25">
      <c r="B169" s="719">
        <v>44889</v>
      </c>
      <c r="C169" s="719">
        <v>44889</v>
      </c>
      <c r="D169" s="720" t="s">
        <v>4700</v>
      </c>
      <c r="E169" s="639" t="s">
        <v>4829</v>
      </c>
      <c r="F169" s="721" t="s">
        <v>4802</v>
      </c>
      <c r="G169" s="720" t="s">
        <v>4709</v>
      </c>
      <c r="H169" s="721" t="s">
        <v>3880</v>
      </c>
      <c r="I169" s="720" t="s">
        <v>4704</v>
      </c>
      <c r="J169" s="722">
        <v>21823</v>
      </c>
      <c r="K169" s="722">
        <v>54.38</v>
      </c>
      <c r="L169" s="723">
        <f t="shared" si="8"/>
        <v>401.30562706877527</v>
      </c>
      <c r="M169" s="720">
        <v>60</v>
      </c>
      <c r="N169" s="724">
        <f t="shared" si="9"/>
        <v>363.71666666666664</v>
      </c>
      <c r="O169" s="725">
        <f t="shared" ca="1" si="10"/>
        <v>14</v>
      </c>
      <c r="P169" s="723">
        <f t="shared" ca="1" si="11"/>
        <v>16730.966666666667</v>
      </c>
      <c r="Q169" s="720" t="s">
        <v>4705</v>
      </c>
    </row>
    <row r="170" spans="2:17" ht="30" x14ac:dyDescent="0.25">
      <c r="B170" s="719">
        <v>44889</v>
      </c>
      <c r="C170" s="719">
        <v>44889</v>
      </c>
      <c r="D170" s="720" t="s">
        <v>4700</v>
      </c>
      <c r="E170" s="639" t="s">
        <v>4830</v>
      </c>
      <c r="F170" s="721" t="s">
        <v>4802</v>
      </c>
      <c r="G170" s="720" t="s">
        <v>4709</v>
      </c>
      <c r="H170" s="721" t="s">
        <v>3880</v>
      </c>
      <c r="I170" s="720" t="s">
        <v>4704</v>
      </c>
      <c r="J170" s="722">
        <v>21823</v>
      </c>
      <c r="K170" s="722">
        <v>54.38</v>
      </c>
      <c r="L170" s="723">
        <f t="shared" si="8"/>
        <v>401.30562706877527</v>
      </c>
      <c r="M170" s="720">
        <v>60</v>
      </c>
      <c r="N170" s="724">
        <f t="shared" si="9"/>
        <v>363.71666666666664</v>
      </c>
      <c r="O170" s="725">
        <f t="shared" ca="1" si="10"/>
        <v>14</v>
      </c>
      <c r="P170" s="723">
        <f t="shared" ca="1" si="11"/>
        <v>16730.966666666667</v>
      </c>
      <c r="Q170" s="720" t="s">
        <v>4705</v>
      </c>
    </row>
    <row r="171" spans="2:17" ht="30" x14ac:dyDescent="0.25">
      <c r="B171" s="719">
        <v>44889</v>
      </c>
      <c r="C171" s="719">
        <v>44889</v>
      </c>
      <c r="D171" s="720" t="s">
        <v>4700</v>
      </c>
      <c r="E171" s="639" t="s">
        <v>4831</v>
      </c>
      <c r="F171" s="721" t="s">
        <v>4802</v>
      </c>
      <c r="G171" s="720" t="s">
        <v>4709</v>
      </c>
      <c r="H171" s="721" t="s">
        <v>3880</v>
      </c>
      <c r="I171" s="720" t="s">
        <v>4704</v>
      </c>
      <c r="J171" s="722">
        <v>21823</v>
      </c>
      <c r="K171" s="722">
        <v>54.38</v>
      </c>
      <c r="L171" s="723">
        <f t="shared" si="8"/>
        <v>401.30562706877527</v>
      </c>
      <c r="M171" s="720">
        <v>60</v>
      </c>
      <c r="N171" s="724">
        <f t="shared" si="9"/>
        <v>363.71666666666664</v>
      </c>
      <c r="O171" s="725">
        <f t="shared" ca="1" si="10"/>
        <v>14</v>
      </c>
      <c r="P171" s="723">
        <f t="shared" ca="1" si="11"/>
        <v>16730.966666666667</v>
      </c>
      <c r="Q171" s="720" t="s">
        <v>4705</v>
      </c>
    </row>
    <row r="172" spans="2:17" ht="30" x14ac:dyDescent="0.25">
      <c r="B172" s="719">
        <v>44889</v>
      </c>
      <c r="C172" s="719">
        <v>44889</v>
      </c>
      <c r="D172" s="720" t="s">
        <v>4700</v>
      </c>
      <c r="E172" s="639" t="s">
        <v>4832</v>
      </c>
      <c r="F172" s="721" t="s">
        <v>4802</v>
      </c>
      <c r="G172" s="720" t="s">
        <v>4709</v>
      </c>
      <c r="H172" s="721" t="s">
        <v>3880</v>
      </c>
      <c r="I172" s="720" t="s">
        <v>4704</v>
      </c>
      <c r="J172" s="722">
        <v>21823</v>
      </c>
      <c r="K172" s="722">
        <v>54.38</v>
      </c>
      <c r="L172" s="723">
        <f t="shared" si="8"/>
        <v>401.30562706877527</v>
      </c>
      <c r="M172" s="720">
        <v>60</v>
      </c>
      <c r="N172" s="724">
        <f t="shared" si="9"/>
        <v>363.71666666666664</v>
      </c>
      <c r="O172" s="725">
        <f t="shared" ca="1" si="10"/>
        <v>14</v>
      </c>
      <c r="P172" s="723">
        <f t="shared" ca="1" si="11"/>
        <v>16730.966666666667</v>
      </c>
      <c r="Q172" s="720" t="s">
        <v>4705</v>
      </c>
    </row>
    <row r="173" spans="2:17" ht="30" x14ac:dyDescent="0.25">
      <c r="B173" s="719">
        <v>44889</v>
      </c>
      <c r="C173" s="719">
        <v>44889</v>
      </c>
      <c r="D173" s="720" t="s">
        <v>4700</v>
      </c>
      <c r="E173" s="639" t="s">
        <v>4833</v>
      </c>
      <c r="F173" s="721" t="s">
        <v>4802</v>
      </c>
      <c r="G173" s="720" t="s">
        <v>4709</v>
      </c>
      <c r="H173" s="721" t="s">
        <v>3880</v>
      </c>
      <c r="I173" s="720" t="s">
        <v>4704</v>
      </c>
      <c r="J173" s="722">
        <v>21823</v>
      </c>
      <c r="K173" s="722">
        <v>54.38</v>
      </c>
      <c r="L173" s="723">
        <f t="shared" si="8"/>
        <v>401.30562706877527</v>
      </c>
      <c r="M173" s="720">
        <v>60</v>
      </c>
      <c r="N173" s="724">
        <f t="shared" si="9"/>
        <v>363.71666666666664</v>
      </c>
      <c r="O173" s="725">
        <f t="shared" ca="1" si="10"/>
        <v>14</v>
      </c>
      <c r="P173" s="723">
        <f t="shared" ca="1" si="11"/>
        <v>16730.966666666667</v>
      </c>
      <c r="Q173" s="720" t="s">
        <v>4705</v>
      </c>
    </row>
    <row r="174" spans="2:17" ht="30" x14ac:dyDescent="0.25">
      <c r="B174" s="719">
        <v>44889</v>
      </c>
      <c r="C174" s="719">
        <v>44889</v>
      </c>
      <c r="D174" s="720" t="s">
        <v>4700</v>
      </c>
      <c r="E174" s="639" t="s">
        <v>4834</v>
      </c>
      <c r="F174" s="721" t="s">
        <v>4802</v>
      </c>
      <c r="G174" s="720" t="s">
        <v>4709</v>
      </c>
      <c r="H174" s="721" t="s">
        <v>3880</v>
      </c>
      <c r="I174" s="720" t="s">
        <v>4704</v>
      </c>
      <c r="J174" s="722">
        <v>21823</v>
      </c>
      <c r="K174" s="722">
        <v>54.38</v>
      </c>
      <c r="L174" s="723">
        <f t="shared" si="8"/>
        <v>401.30562706877527</v>
      </c>
      <c r="M174" s="720">
        <v>60</v>
      </c>
      <c r="N174" s="724">
        <f t="shared" si="9"/>
        <v>363.71666666666664</v>
      </c>
      <c r="O174" s="725">
        <f t="shared" ca="1" si="10"/>
        <v>14</v>
      </c>
      <c r="P174" s="723">
        <f t="shared" ca="1" si="11"/>
        <v>16730.966666666667</v>
      </c>
      <c r="Q174" s="720" t="s">
        <v>4705</v>
      </c>
    </row>
    <row r="175" spans="2:17" ht="30" x14ac:dyDescent="0.25">
      <c r="B175" s="719">
        <v>44889</v>
      </c>
      <c r="C175" s="719">
        <v>44889</v>
      </c>
      <c r="D175" s="720" t="s">
        <v>4700</v>
      </c>
      <c r="E175" s="639" t="s">
        <v>4835</v>
      </c>
      <c r="F175" s="721" t="s">
        <v>4802</v>
      </c>
      <c r="G175" s="720" t="s">
        <v>4709</v>
      </c>
      <c r="H175" s="721" t="s">
        <v>3880</v>
      </c>
      <c r="I175" s="720" t="s">
        <v>4704</v>
      </c>
      <c r="J175" s="722">
        <v>21823</v>
      </c>
      <c r="K175" s="722">
        <v>54.38</v>
      </c>
      <c r="L175" s="723">
        <f t="shared" si="8"/>
        <v>401.30562706877527</v>
      </c>
      <c r="M175" s="720">
        <v>60</v>
      </c>
      <c r="N175" s="724">
        <f t="shared" si="9"/>
        <v>363.71666666666664</v>
      </c>
      <c r="O175" s="725">
        <f t="shared" ca="1" si="10"/>
        <v>14</v>
      </c>
      <c r="P175" s="723">
        <f t="shared" ca="1" si="11"/>
        <v>16730.966666666667</v>
      </c>
      <c r="Q175" s="720" t="s">
        <v>4705</v>
      </c>
    </row>
    <row r="176" spans="2:17" ht="30" x14ac:dyDescent="0.25">
      <c r="B176" s="719">
        <v>44889</v>
      </c>
      <c r="C176" s="719">
        <v>44889</v>
      </c>
      <c r="D176" s="720" t="s">
        <v>4700</v>
      </c>
      <c r="E176" s="639" t="s">
        <v>4836</v>
      </c>
      <c r="F176" s="721" t="s">
        <v>4802</v>
      </c>
      <c r="G176" s="720" t="s">
        <v>4709</v>
      </c>
      <c r="H176" s="721" t="s">
        <v>3880</v>
      </c>
      <c r="I176" s="720" t="s">
        <v>4704</v>
      </c>
      <c r="J176" s="722">
        <v>21823</v>
      </c>
      <c r="K176" s="722">
        <v>54.38</v>
      </c>
      <c r="L176" s="723">
        <f t="shared" si="8"/>
        <v>401.30562706877527</v>
      </c>
      <c r="M176" s="720">
        <v>60</v>
      </c>
      <c r="N176" s="724">
        <f t="shared" si="9"/>
        <v>363.71666666666664</v>
      </c>
      <c r="O176" s="725">
        <f t="shared" ca="1" si="10"/>
        <v>14</v>
      </c>
      <c r="P176" s="723">
        <f t="shared" ca="1" si="11"/>
        <v>16730.966666666667</v>
      </c>
      <c r="Q176" s="720" t="s">
        <v>4705</v>
      </c>
    </row>
    <row r="177" spans="2:17" ht="30" x14ac:dyDescent="0.25">
      <c r="B177" s="719">
        <v>44889</v>
      </c>
      <c r="C177" s="719">
        <v>44889</v>
      </c>
      <c r="D177" s="720" t="s">
        <v>4700</v>
      </c>
      <c r="E177" s="639" t="s">
        <v>4837</v>
      </c>
      <c r="F177" s="721" t="s">
        <v>4802</v>
      </c>
      <c r="G177" s="720" t="s">
        <v>4709</v>
      </c>
      <c r="H177" s="721" t="s">
        <v>3880</v>
      </c>
      <c r="I177" s="720" t="s">
        <v>4704</v>
      </c>
      <c r="J177" s="722">
        <v>21823</v>
      </c>
      <c r="K177" s="722">
        <v>54.38</v>
      </c>
      <c r="L177" s="723">
        <f t="shared" si="8"/>
        <v>401.30562706877527</v>
      </c>
      <c r="M177" s="720">
        <v>60</v>
      </c>
      <c r="N177" s="724">
        <f t="shared" si="9"/>
        <v>363.71666666666664</v>
      </c>
      <c r="O177" s="725">
        <f t="shared" ca="1" si="10"/>
        <v>14</v>
      </c>
      <c r="P177" s="723">
        <f t="shared" ca="1" si="11"/>
        <v>16730.966666666667</v>
      </c>
      <c r="Q177" s="720" t="s">
        <v>4705</v>
      </c>
    </row>
    <row r="178" spans="2:17" ht="30" x14ac:dyDescent="0.25">
      <c r="B178" s="719">
        <v>44889</v>
      </c>
      <c r="C178" s="719">
        <v>44889</v>
      </c>
      <c r="D178" s="720" t="s">
        <v>4700</v>
      </c>
      <c r="E178" s="639" t="s">
        <v>4838</v>
      </c>
      <c r="F178" s="721" t="s">
        <v>4802</v>
      </c>
      <c r="G178" s="720" t="s">
        <v>4709</v>
      </c>
      <c r="H178" s="721" t="s">
        <v>3880</v>
      </c>
      <c r="I178" s="720" t="s">
        <v>4704</v>
      </c>
      <c r="J178" s="722">
        <v>21823</v>
      </c>
      <c r="K178" s="722">
        <v>54.38</v>
      </c>
      <c r="L178" s="723">
        <f t="shared" si="8"/>
        <v>401.30562706877527</v>
      </c>
      <c r="M178" s="720">
        <v>60</v>
      </c>
      <c r="N178" s="724">
        <f t="shared" si="9"/>
        <v>363.71666666666664</v>
      </c>
      <c r="O178" s="725">
        <f t="shared" ca="1" si="10"/>
        <v>14</v>
      </c>
      <c r="P178" s="723">
        <f t="shared" ca="1" si="11"/>
        <v>16730.966666666667</v>
      </c>
      <c r="Q178" s="720" t="s">
        <v>4705</v>
      </c>
    </row>
    <row r="179" spans="2:17" ht="30" x14ac:dyDescent="0.25">
      <c r="B179" s="719">
        <v>44889</v>
      </c>
      <c r="C179" s="719">
        <v>44889</v>
      </c>
      <c r="D179" s="720" t="s">
        <v>4700</v>
      </c>
      <c r="E179" s="639" t="s">
        <v>4839</v>
      </c>
      <c r="F179" s="721" t="s">
        <v>4802</v>
      </c>
      <c r="G179" s="720" t="s">
        <v>4709</v>
      </c>
      <c r="H179" s="721" t="s">
        <v>3880</v>
      </c>
      <c r="I179" s="720" t="s">
        <v>4704</v>
      </c>
      <c r="J179" s="722">
        <v>21823</v>
      </c>
      <c r="K179" s="722">
        <v>54.38</v>
      </c>
      <c r="L179" s="723">
        <f t="shared" si="8"/>
        <v>401.30562706877527</v>
      </c>
      <c r="M179" s="720">
        <v>60</v>
      </c>
      <c r="N179" s="724">
        <f t="shared" si="9"/>
        <v>363.71666666666664</v>
      </c>
      <c r="O179" s="725">
        <f t="shared" ca="1" si="10"/>
        <v>14</v>
      </c>
      <c r="P179" s="723">
        <f t="shared" ca="1" si="11"/>
        <v>16730.966666666667</v>
      </c>
      <c r="Q179" s="720" t="s">
        <v>4705</v>
      </c>
    </row>
    <row r="180" spans="2:17" ht="30" x14ac:dyDescent="0.25">
      <c r="B180" s="719">
        <v>44889</v>
      </c>
      <c r="C180" s="719">
        <v>44889</v>
      </c>
      <c r="D180" s="720" t="s">
        <v>4700</v>
      </c>
      <c r="E180" s="639" t="s">
        <v>4840</v>
      </c>
      <c r="F180" s="721" t="s">
        <v>4802</v>
      </c>
      <c r="G180" s="720" t="s">
        <v>4709</v>
      </c>
      <c r="H180" s="721" t="s">
        <v>3880</v>
      </c>
      <c r="I180" s="720" t="s">
        <v>4704</v>
      </c>
      <c r="J180" s="722">
        <v>21823</v>
      </c>
      <c r="K180" s="722">
        <v>54.38</v>
      </c>
      <c r="L180" s="723">
        <f t="shared" si="8"/>
        <v>401.30562706877527</v>
      </c>
      <c r="M180" s="720">
        <v>60</v>
      </c>
      <c r="N180" s="724">
        <f t="shared" si="9"/>
        <v>363.71666666666664</v>
      </c>
      <c r="O180" s="725">
        <f t="shared" ca="1" si="10"/>
        <v>14</v>
      </c>
      <c r="P180" s="723">
        <f t="shared" ca="1" si="11"/>
        <v>16730.966666666667</v>
      </c>
      <c r="Q180" s="720" t="s">
        <v>4705</v>
      </c>
    </row>
    <row r="181" spans="2:17" ht="30" x14ac:dyDescent="0.25">
      <c r="B181" s="719">
        <v>44889</v>
      </c>
      <c r="C181" s="719">
        <v>44889</v>
      </c>
      <c r="D181" s="720" t="s">
        <v>4700</v>
      </c>
      <c r="E181" s="639" t="s">
        <v>4841</v>
      </c>
      <c r="F181" s="721" t="s">
        <v>4802</v>
      </c>
      <c r="G181" s="720" t="s">
        <v>4709</v>
      </c>
      <c r="H181" s="721" t="s">
        <v>3880</v>
      </c>
      <c r="I181" s="720" t="s">
        <v>4704</v>
      </c>
      <c r="J181" s="722">
        <v>21823</v>
      </c>
      <c r="K181" s="722">
        <v>54.38</v>
      </c>
      <c r="L181" s="723">
        <f t="shared" si="8"/>
        <v>401.30562706877527</v>
      </c>
      <c r="M181" s="720">
        <v>60</v>
      </c>
      <c r="N181" s="724">
        <f t="shared" si="9"/>
        <v>363.71666666666664</v>
      </c>
      <c r="O181" s="725">
        <f t="shared" ca="1" si="10"/>
        <v>14</v>
      </c>
      <c r="P181" s="723">
        <f t="shared" ca="1" si="11"/>
        <v>16730.966666666667</v>
      </c>
      <c r="Q181" s="720" t="s">
        <v>4705</v>
      </c>
    </row>
    <row r="182" spans="2:17" ht="30" x14ac:dyDescent="0.25">
      <c r="B182" s="719">
        <v>44889</v>
      </c>
      <c r="C182" s="719">
        <v>44889</v>
      </c>
      <c r="D182" s="720" t="s">
        <v>4700</v>
      </c>
      <c r="E182" s="639" t="s">
        <v>4842</v>
      </c>
      <c r="F182" s="721" t="s">
        <v>4802</v>
      </c>
      <c r="G182" s="720" t="s">
        <v>4709</v>
      </c>
      <c r="H182" s="721" t="s">
        <v>3880</v>
      </c>
      <c r="I182" s="720" t="s">
        <v>4704</v>
      </c>
      <c r="J182" s="722">
        <v>21823</v>
      </c>
      <c r="K182" s="722">
        <v>54.38</v>
      </c>
      <c r="L182" s="723">
        <f t="shared" si="8"/>
        <v>401.30562706877527</v>
      </c>
      <c r="M182" s="720">
        <v>60</v>
      </c>
      <c r="N182" s="724">
        <f t="shared" si="9"/>
        <v>363.71666666666664</v>
      </c>
      <c r="O182" s="725">
        <f t="shared" ca="1" si="10"/>
        <v>14</v>
      </c>
      <c r="P182" s="723">
        <f t="shared" ca="1" si="11"/>
        <v>16730.966666666667</v>
      </c>
      <c r="Q182" s="720" t="s">
        <v>4705</v>
      </c>
    </row>
    <row r="183" spans="2:17" ht="30" x14ac:dyDescent="0.25">
      <c r="B183" s="719">
        <v>44889</v>
      </c>
      <c r="C183" s="719">
        <v>44889</v>
      </c>
      <c r="D183" s="720" t="s">
        <v>4700</v>
      </c>
      <c r="E183" s="639" t="s">
        <v>4843</v>
      </c>
      <c r="F183" s="721" t="s">
        <v>4802</v>
      </c>
      <c r="G183" s="720" t="s">
        <v>4709</v>
      </c>
      <c r="H183" s="721" t="s">
        <v>3880</v>
      </c>
      <c r="I183" s="720" t="s">
        <v>4704</v>
      </c>
      <c r="J183" s="722">
        <v>21823</v>
      </c>
      <c r="K183" s="722">
        <v>54.38</v>
      </c>
      <c r="L183" s="723">
        <f t="shared" si="8"/>
        <v>401.30562706877527</v>
      </c>
      <c r="M183" s="720">
        <v>60</v>
      </c>
      <c r="N183" s="724">
        <f t="shared" si="9"/>
        <v>363.71666666666664</v>
      </c>
      <c r="O183" s="725">
        <f t="shared" ca="1" si="10"/>
        <v>14</v>
      </c>
      <c r="P183" s="723">
        <f t="shared" ca="1" si="11"/>
        <v>16730.966666666667</v>
      </c>
      <c r="Q183" s="720" t="s">
        <v>4705</v>
      </c>
    </row>
    <row r="184" spans="2:17" ht="30" x14ac:dyDescent="0.25">
      <c r="B184" s="719">
        <v>44889</v>
      </c>
      <c r="C184" s="719">
        <v>44889</v>
      </c>
      <c r="D184" s="720" t="s">
        <v>4700</v>
      </c>
      <c r="E184" s="639" t="s">
        <v>4844</v>
      </c>
      <c r="F184" s="721" t="s">
        <v>4802</v>
      </c>
      <c r="G184" s="720" t="s">
        <v>4709</v>
      </c>
      <c r="H184" s="721" t="s">
        <v>3880</v>
      </c>
      <c r="I184" s="720" t="s">
        <v>4704</v>
      </c>
      <c r="J184" s="722">
        <v>21823</v>
      </c>
      <c r="K184" s="722">
        <v>54.38</v>
      </c>
      <c r="L184" s="723">
        <f t="shared" si="8"/>
        <v>401.30562706877527</v>
      </c>
      <c r="M184" s="720">
        <v>60</v>
      </c>
      <c r="N184" s="724">
        <f t="shared" si="9"/>
        <v>363.71666666666664</v>
      </c>
      <c r="O184" s="725">
        <f t="shared" ca="1" si="10"/>
        <v>14</v>
      </c>
      <c r="P184" s="723">
        <f t="shared" ca="1" si="11"/>
        <v>16730.966666666667</v>
      </c>
      <c r="Q184" s="720" t="s">
        <v>4705</v>
      </c>
    </row>
    <row r="185" spans="2:17" ht="30" x14ac:dyDescent="0.25">
      <c r="B185" s="719">
        <v>44889</v>
      </c>
      <c r="C185" s="719">
        <v>44889</v>
      </c>
      <c r="D185" s="720" t="s">
        <v>4700</v>
      </c>
      <c r="E185" s="639" t="s">
        <v>4845</v>
      </c>
      <c r="F185" s="721" t="s">
        <v>4802</v>
      </c>
      <c r="G185" s="720" t="s">
        <v>4709</v>
      </c>
      <c r="H185" s="721" t="s">
        <v>3880</v>
      </c>
      <c r="I185" s="720" t="s">
        <v>4704</v>
      </c>
      <c r="J185" s="722">
        <v>21823</v>
      </c>
      <c r="K185" s="722">
        <v>54.38</v>
      </c>
      <c r="L185" s="723">
        <f t="shared" si="8"/>
        <v>401.30562706877527</v>
      </c>
      <c r="M185" s="720">
        <v>60</v>
      </c>
      <c r="N185" s="724">
        <f t="shared" si="9"/>
        <v>363.71666666666664</v>
      </c>
      <c r="O185" s="725">
        <f t="shared" ca="1" si="10"/>
        <v>14</v>
      </c>
      <c r="P185" s="723">
        <f t="shared" ca="1" si="11"/>
        <v>16730.966666666667</v>
      </c>
      <c r="Q185" s="720" t="s">
        <v>4705</v>
      </c>
    </row>
    <row r="186" spans="2:17" ht="30" x14ac:dyDescent="0.25">
      <c r="B186" s="719">
        <v>44889</v>
      </c>
      <c r="C186" s="719">
        <v>44889</v>
      </c>
      <c r="D186" s="720" t="s">
        <v>4700</v>
      </c>
      <c r="E186" s="639" t="s">
        <v>4846</v>
      </c>
      <c r="F186" s="721" t="s">
        <v>4802</v>
      </c>
      <c r="G186" s="720" t="s">
        <v>4709</v>
      </c>
      <c r="H186" s="721" t="s">
        <v>3880</v>
      </c>
      <c r="I186" s="720" t="s">
        <v>4704</v>
      </c>
      <c r="J186" s="722">
        <v>21823</v>
      </c>
      <c r="K186" s="722">
        <v>54.38</v>
      </c>
      <c r="L186" s="723">
        <f t="shared" si="8"/>
        <v>401.30562706877527</v>
      </c>
      <c r="M186" s="720">
        <v>60</v>
      </c>
      <c r="N186" s="724">
        <f t="shared" si="9"/>
        <v>363.71666666666664</v>
      </c>
      <c r="O186" s="725">
        <f t="shared" ca="1" si="10"/>
        <v>14</v>
      </c>
      <c r="P186" s="723">
        <f t="shared" ca="1" si="11"/>
        <v>16730.966666666667</v>
      </c>
      <c r="Q186" s="720" t="s">
        <v>4705</v>
      </c>
    </row>
    <row r="187" spans="2:17" ht="30" x14ac:dyDescent="0.25">
      <c r="B187" s="719">
        <v>44889</v>
      </c>
      <c r="C187" s="719">
        <v>44889</v>
      </c>
      <c r="D187" s="720" t="s">
        <v>4700</v>
      </c>
      <c r="E187" s="639" t="s">
        <v>4847</v>
      </c>
      <c r="F187" s="721" t="s">
        <v>4802</v>
      </c>
      <c r="G187" s="720" t="s">
        <v>4709</v>
      </c>
      <c r="H187" s="721" t="s">
        <v>3880</v>
      </c>
      <c r="I187" s="720" t="s">
        <v>4704</v>
      </c>
      <c r="J187" s="722">
        <v>21823</v>
      </c>
      <c r="K187" s="722">
        <v>54.38</v>
      </c>
      <c r="L187" s="723">
        <f t="shared" si="8"/>
        <v>401.30562706877527</v>
      </c>
      <c r="M187" s="720">
        <v>60</v>
      </c>
      <c r="N187" s="724">
        <f t="shared" si="9"/>
        <v>363.71666666666664</v>
      </c>
      <c r="O187" s="725">
        <f t="shared" ca="1" si="10"/>
        <v>14</v>
      </c>
      <c r="P187" s="723">
        <f t="shared" ca="1" si="11"/>
        <v>16730.966666666667</v>
      </c>
      <c r="Q187" s="720" t="s">
        <v>4705</v>
      </c>
    </row>
    <row r="188" spans="2:17" ht="30" x14ac:dyDescent="0.25">
      <c r="B188" s="719">
        <v>44889</v>
      </c>
      <c r="C188" s="719">
        <v>44889</v>
      </c>
      <c r="D188" s="720" t="s">
        <v>4700</v>
      </c>
      <c r="E188" s="639" t="s">
        <v>4848</v>
      </c>
      <c r="F188" s="721" t="s">
        <v>4802</v>
      </c>
      <c r="G188" s="720" t="s">
        <v>4709</v>
      </c>
      <c r="H188" s="721" t="s">
        <v>3880</v>
      </c>
      <c r="I188" s="720" t="s">
        <v>4704</v>
      </c>
      <c r="J188" s="722">
        <v>21823</v>
      </c>
      <c r="K188" s="722">
        <v>54.38</v>
      </c>
      <c r="L188" s="723">
        <f t="shared" si="8"/>
        <v>401.30562706877527</v>
      </c>
      <c r="M188" s="720">
        <v>60</v>
      </c>
      <c r="N188" s="724">
        <f t="shared" si="9"/>
        <v>363.71666666666664</v>
      </c>
      <c r="O188" s="725">
        <f t="shared" ca="1" si="10"/>
        <v>14</v>
      </c>
      <c r="P188" s="723">
        <f t="shared" ca="1" si="11"/>
        <v>16730.966666666667</v>
      </c>
      <c r="Q188" s="720" t="s">
        <v>4705</v>
      </c>
    </row>
    <row r="189" spans="2:17" ht="30" x14ac:dyDescent="0.25">
      <c r="B189" s="719">
        <v>44889</v>
      </c>
      <c r="C189" s="719">
        <v>44889</v>
      </c>
      <c r="D189" s="720" t="s">
        <v>4700</v>
      </c>
      <c r="E189" s="639" t="s">
        <v>4849</v>
      </c>
      <c r="F189" s="721" t="s">
        <v>4802</v>
      </c>
      <c r="G189" s="720" t="s">
        <v>4709</v>
      </c>
      <c r="H189" s="721" t="s">
        <v>3880</v>
      </c>
      <c r="I189" s="720" t="s">
        <v>4704</v>
      </c>
      <c r="J189" s="722">
        <v>21823</v>
      </c>
      <c r="K189" s="722">
        <v>54.38</v>
      </c>
      <c r="L189" s="723">
        <f t="shared" si="8"/>
        <v>401.30562706877527</v>
      </c>
      <c r="M189" s="720">
        <v>60</v>
      </c>
      <c r="N189" s="724">
        <f t="shared" si="9"/>
        <v>363.71666666666664</v>
      </c>
      <c r="O189" s="725">
        <f t="shared" ca="1" si="10"/>
        <v>14</v>
      </c>
      <c r="P189" s="723">
        <f t="shared" ca="1" si="11"/>
        <v>16730.966666666667</v>
      </c>
      <c r="Q189" s="720" t="s">
        <v>4705</v>
      </c>
    </row>
    <row r="190" spans="2:17" ht="30" x14ac:dyDescent="0.25">
      <c r="B190" s="719">
        <v>44889</v>
      </c>
      <c r="C190" s="719">
        <v>44889</v>
      </c>
      <c r="D190" s="720" t="s">
        <v>4700</v>
      </c>
      <c r="E190" s="639" t="s">
        <v>4850</v>
      </c>
      <c r="F190" s="721" t="s">
        <v>4802</v>
      </c>
      <c r="G190" s="720" t="s">
        <v>4709</v>
      </c>
      <c r="H190" s="721" t="s">
        <v>3880</v>
      </c>
      <c r="I190" s="720" t="s">
        <v>4704</v>
      </c>
      <c r="J190" s="722">
        <v>21823</v>
      </c>
      <c r="K190" s="722">
        <v>54.38</v>
      </c>
      <c r="L190" s="723">
        <f t="shared" si="8"/>
        <v>401.30562706877527</v>
      </c>
      <c r="M190" s="720">
        <v>60</v>
      </c>
      <c r="N190" s="724">
        <f t="shared" si="9"/>
        <v>363.71666666666664</v>
      </c>
      <c r="O190" s="725">
        <f t="shared" ca="1" si="10"/>
        <v>14</v>
      </c>
      <c r="P190" s="723">
        <f t="shared" ca="1" si="11"/>
        <v>16730.966666666667</v>
      </c>
      <c r="Q190" s="720" t="s">
        <v>4705</v>
      </c>
    </row>
    <row r="191" spans="2:17" ht="30" x14ac:dyDescent="0.25">
      <c r="B191" s="719">
        <v>44889</v>
      </c>
      <c r="C191" s="719">
        <v>44889</v>
      </c>
      <c r="D191" s="720" t="s">
        <v>4700</v>
      </c>
      <c r="E191" s="639" t="s">
        <v>4851</v>
      </c>
      <c r="F191" s="721" t="s">
        <v>4802</v>
      </c>
      <c r="G191" s="720" t="s">
        <v>4709</v>
      </c>
      <c r="H191" s="721" t="s">
        <v>3880</v>
      </c>
      <c r="I191" s="720" t="s">
        <v>4704</v>
      </c>
      <c r="J191" s="722">
        <v>21823</v>
      </c>
      <c r="K191" s="722">
        <v>54.38</v>
      </c>
      <c r="L191" s="723">
        <f t="shared" si="8"/>
        <v>401.30562706877527</v>
      </c>
      <c r="M191" s="720">
        <v>60</v>
      </c>
      <c r="N191" s="724">
        <f t="shared" si="9"/>
        <v>363.71666666666664</v>
      </c>
      <c r="O191" s="725">
        <f t="shared" ca="1" si="10"/>
        <v>14</v>
      </c>
      <c r="P191" s="723">
        <f t="shared" ca="1" si="11"/>
        <v>16730.966666666667</v>
      </c>
      <c r="Q191" s="720" t="s">
        <v>4705</v>
      </c>
    </row>
    <row r="192" spans="2:17" ht="60" x14ac:dyDescent="0.25">
      <c r="B192" s="719">
        <v>44909</v>
      </c>
      <c r="C192" s="719">
        <v>44998</v>
      </c>
      <c r="D192" s="720" t="s">
        <v>4852</v>
      </c>
      <c r="E192" s="727" t="s">
        <v>4853</v>
      </c>
      <c r="F192" s="728" t="s">
        <v>4854</v>
      </c>
      <c r="G192" s="720" t="s">
        <v>18</v>
      </c>
      <c r="H192" s="721" t="s">
        <v>4611</v>
      </c>
      <c r="I192" s="721" t="s">
        <v>4611</v>
      </c>
      <c r="J192" s="729">
        <v>398323.20000000001</v>
      </c>
      <c r="K192" s="722">
        <v>55.2</v>
      </c>
      <c r="L192" s="723">
        <f t="shared" si="8"/>
        <v>7216</v>
      </c>
      <c r="M192" s="720">
        <v>60</v>
      </c>
      <c r="N192" s="724">
        <f t="shared" si="9"/>
        <v>6638.72</v>
      </c>
      <c r="O192" s="725">
        <f ca="1">IF(C192&lt;&gt;0,(ROUND((NOW()-C192)/30,0)),0)</f>
        <v>10</v>
      </c>
      <c r="P192" s="723">
        <f t="shared" ca="1" si="11"/>
        <v>331936</v>
      </c>
      <c r="Q192" s="721" t="s">
        <v>4855</v>
      </c>
    </row>
    <row r="193" spans="2:17" ht="60" x14ac:dyDescent="0.25">
      <c r="B193" s="719">
        <v>44909</v>
      </c>
      <c r="C193" s="719">
        <v>44998</v>
      </c>
      <c r="D193" s="720" t="s">
        <v>4852</v>
      </c>
      <c r="E193" s="727" t="s">
        <v>4856</v>
      </c>
      <c r="F193" s="728" t="s">
        <v>4857</v>
      </c>
      <c r="G193" s="730" t="s">
        <v>18</v>
      </c>
      <c r="H193" s="721" t="s">
        <v>4611</v>
      </c>
      <c r="I193" s="721" t="s">
        <v>4611</v>
      </c>
      <c r="J193" s="729">
        <v>398323.20000000001</v>
      </c>
      <c r="K193" s="722">
        <v>55.2</v>
      </c>
      <c r="L193" s="723">
        <f t="shared" si="8"/>
        <v>7216</v>
      </c>
      <c r="M193" s="720">
        <v>60</v>
      </c>
      <c r="N193" s="724">
        <f t="shared" si="9"/>
        <v>6638.72</v>
      </c>
      <c r="O193" s="725">
        <f t="shared" ref="O193:O219" ca="1" si="12">IF(B193&lt;&gt;0,(ROUND((NOW()-B193)/30,0)),0)</f>
        <v>13</v>
      </c>
      <c r="P193" s="723">
        <f t="shared" ca="1" si="11"/>
        <v>312019.84000000003</v>
      </c>
      <c r="Q193" s="721" t="s">
        <v>4855</v>
      </c>
    </row>
    <row r="194" spans="2:17" ht="60" x14ac:dyDescent="0.25">
      <c r="B194" s="719">
        <v>44909</v>
      </c>
      <c r="C194" s="719">
        <v>44998</v>
      </c>
      <c r="D194" s="720" t="s">
        <v>4852</v>
      </c>
      <c r="E194" s="727" t="s">
        <v>4858</v>
      </c>
      <c r="F194" s="731" t="s">
        <v>4859</v>
      </c>
      <c r="G194" s="730" t="s">
        <v>18</v>
      </c>
      <c r="H194" s="721" t="s">
        <v>4611</v>
      </c>
      <c r="I194" s="721" t="s">
        <v>4611</v>
      </c>
      <c r="J194" s="732">
        <v>707443.19999999995</v>
      </c>
      <c r="K194" s="722">
        <v>55.2</v>
      </c>
      <c r="L194" s="723">
        <f t="shared" si="8"/>
        <v>12815.999999999998</v>
      </c>
      <c r="M194" s="720">
        <v>60</v>
      </c>
      <c r="N194" s="724">
        <f t="shared" si="9"/>
        <v>11790.72</v>
      </c>
      <c r="O194" s="725">
        <f t="shared" ca="1" si="12"/>
        <v>13</v>
      </c>
      <c r="P194" s="723">
        <f t="shared" ca="1" si="11"/>
        <v>554163.84</v>
      </c>
      <c r="Q194" s="721" t="s">
        <v>4855</v>
      </c>
    </row>
    <row r="195" spans="2:17" ht="60" x14ac:dyDescent="0.25">
      <c r="B195" s="719">
        <v>44909</v>
      </c>
      <c r="C195" s="719">
        <v>44998</v>
      </c>
      <c r="D195" s="720" t="s">
        <v>4852</v>
      </c>
      <c r="E195" s="727" t="s">
        <v>4860</v>
      </c>
      <c r="F195" s="731" t="s">
        <v>4859</v>
      </c>
      <c r="G195" s="730" t="s">
        <v>18</v>
      </c>
      <c r="H195" s="721" t="s">
        <v>4611</v>
      </c>
      <c r="I195" s="721" t="s">
        <v>4611</v>
      </c>
      <c r="J195" s="732">
        <v>707443.19999999995</v>
      </c>
      <c r="K195" s="722">
        <v>55.2</v>
      </c>
      <c r="L195" s="723">
        <f t="shared" si="8"/>
        <v>12815.999999999998</v>
      </c>
      <c r="M195" s="720">
        <v>60</v>
      </c>
      <c r="N195" s="724">
        <f t="shared" si="9"/>
        <v>11790.72</v>
      </c>
      <c r="O195" s="725">
        <f t="shared" ca="1" si="12"/>
        <v>13</v>
      </c>
      <c r="P195" s="723">
        <f t="shared" ca="1" si="11"/>
        <v>554163.84</v>
      </c>
      <c r="Q195" s="721" t="s">
        <v>4855</v>
      </c>
    </row>
    <row r="196" spans="2:17" ht="45" x14ac:dyDescent="0.25">
      <c r="B196" s="719">
        <v>44909</v>
      </c>
      <c r="C196" s="719">
        <v>44998</v>
      </c>
      <c r="D196" s="720" t="s">
        <v>4852</v>
      </c>
      <c r="E196" s="727" t="s">
        <v>4861</v>
      </c>
      <c r="F196" s="731" t="s">
        <v>4862</v>
      </c>
      <c r="G196" s="730" t="s">
        <v>18</v>
      </c>
      <c r="H196" s="721" t="s">
        <v>4611</v>
      </c>
      <c r="I196" s="721" t="s">
        <v>4611</v>
      </c>
      <c r="J196" s="729">
        <v>1391178</v>
      </c>
      <c r="K196" s="722">
        <v>55.2</v>
      </c>
      <c r="L196" s="723">
        <f t="shared" si="8"/>
        <v>25202.5</v>
      </c>
      <c r="M196" s="720">
        <v>60</v>
      </c>
      <c r="N196" s="724">
        <f t="shared" si="9"/>
        <v>23186.3</v>
      </c>
      <c r="O196" s="725">
        <f t="shared" ca="1" si="12"/>
        <v>13</v>
      </c>
      <c r="P196" s="723">
        <f t="shared" ca="1" si="11"/>
        <v>1089756.1000000001</v>
      </c>
      <c r="Q196" s="721" t="s">
        <v>4855</v>
      </c>
    </row>
    <row r="197" spans="2:17" ht="45" x14ac:dyDescent="0.25">
      <c r="B197" s="719">
        <v>44909</v>
      </c>
      <c r="C197" s="719">
        <v>44998</v>
      </c>
      <c r="D197" s="720" t="s">
        <v>4852</v>
      </c>
      <c r="E197" s="727" t="s">
        <v>4863</v>
      </c>
      <c r="F197" s="731" t="s">
        <v>4862</v>
      </c>
      <c r="G197" s="730" t="s">
        <v>18</v>
      </c>
      <c r="H197" s="721" t="s">
        <v>4611</v>
      </c>
      <c r="I197" s="721" t="s">
        <v>4611</v>
      </c>
      <c r="J197" s="729">
        <v>1391178</v>
      </c>
      <c r="K197" s="722">
        <v>55.2</v>
      </c>
      <c r="L197" s="723">
        <f t="shared" si="8"/>
        <v>25202.5</v>
      </c>
      <c r="M197" s="720">
        <v>60</v>
      </c>
      <c r="N197" s="724">
        <f t="shared" si="9"/>
        <v>23186.3</v>
      </c>
      <c r="O197" s="725">
        <f t="shared" ca="1" si="12"/>
        <v>13</v>
      </c>
      <c r="P197" s="723">
        <f t="shared" ca="1" si="11"/>
        <v>1089756.1000000001</v>
      </c>
      <c r="Q197" s="721" t="s">
        <v>4855</v>
      </c>
    </row>
    <row r="198" spans="2:17" ht="45" x14ac:dyDescent="0.25">
      <c r="B198" s="719">
        <v>44909</v>
      </c>
      <c r="C198" s="719">
        <v>44998</v>
      </c>
      <c r="D198" s="720" t="s">
        <v>4852</v>
      </c>
      <c r="E198" s="727" t="s">
        <v>4864</v>
      </c>
      <c r="F198" s="731" t="s">
        <v>4862</v>
      </c>
      <c r="G198" s="730" t="s">
        <v>18</v>
      </c>
      <c r="H198" s="721" t="s">
        <v>4611</v>
      </c>
      <c r="I198" s="721" t="s">
        <v>4611</v>
      </c>
      <c r="J198" s="729">
        <v>1391178</v>
      </c>
      <c r="K198" s="722">
        <v>55.2</v>
      </c>
      <c r="L198" s="723">
        <f t="shared" si="8"/>
        <v>25202.5</v>
      </c>
      <c r="M198" s="720">
        <v>60</v>
      </c>
      <c r="N198" s="724">
        <f t="shared" si="9"/>
        <v>23186.3</v>
      </c>
      <c r="O198" s="725">
        <f t="shared" ca="1" si="12"/>
        <v>13</v>
      </c>
      <c r="P198" s="723">
        <f t="shared" ca="1" si="11"/>
        <v>1089756.1000000001</v>
      </c>
      <c r="Q198" s="721" t="s">
        <v>4855</v>
      </c>
    </row>
    <row r="199" spans="2:17" ht="45" x14ac:dyDescent="0.25">
      <c r="B199" s="719">
        <v>44909</v>
      </c>
      <c r="C199" s="719">
        <v>44998</v>
      </c>
      <c r="D199" s="720" t="s">
        <v>4852</v>
      </c>
      <c r="E199" s="727" t="s">
        <v>4865</v>
      </c>
      <c r="F199" s="731" t="s">
        <v>4866</v>
      </c>
      <c r="G199" s="730" t="s">
        <v>18</v>
      </c>
      <c r="H199" s="721" t="s">
        <v>4611</v>
      </c>
      <c r="I199" s="721" t="s">
        <v>4611</v>
      </c>
      <c r="J199" s="729">
        <v>56105.279999999999</v>
      </c>
      <c r="K199" s="722">
        <v>55.2</v>
      </c>
      <c r="L199" s="723">
        <f t="shared" si="8"/>
        <v>1016.4</v>
      </c>
      <c r="M199" s="720">
        <v>60</v>
      </c>
      <c r="N199" s="724">
        <f t="shared" si="9"/>
        <v>935.08799999999997</v>
      </c>
      <c r="O199" s="725">
        <f t="shared" ca="1" si="12"/>
        <v>13</v>
      </c>
      <c r="P199" s="723">
        <f t="shared" ca="1" si="11"/>
        <v>43949.135999999999</v>
      </c>
      <c r="Q199" s="721" t="s">
        <v>4855</v>
      </c>
    </row>
    <row r="200" spans="2:17" ht="45" x14ac:dyDescent="0.25">
      <c r="B200" s="719">
        <v>44909</v>
      </c>
      <c r="C200" s="719">
        <v>44998</v>
      </c>
      <c r="D200" s="720" t="s">
        <v>4852</v>
      </c>
      <c r="E200" s="727" t="s">
        <v>4867</v>
      </c>
      <c r="F200" s="731" t="s">
        <v>4866</v>
      </c>
      <c r="G200" s="730" t="s">
        <v>18</v>
      </c>
      <c r="H200" s="721" t="s">
        <v>4611</v>
      </c>
      <c r="I200" s="721" t="s">
        <v>4611</v>
      </c>
      <c r="J200" s="729">
        <v>56105.279999999999</v>
      </c>
      <c r="K200" s="722">
        <v>55.2</v>
      </c>
      <c r="L200" s="723">
        <f t="shared" si="8"/>
        <v>1016.4</v>
      </c>
      <c r="M200" s="720">
        <v>60</v>
      </c>
      <c r="N200" s="724">
        <f t="shared" si="9"/>
        <v>935.08799999999997</v>
      </c>
      <c r="O200" s="725">
        <f t="shared" ca="1" si="12"/>
        <v>13</v>
      </c>
      <c r="P200" s="723">
        <f t="shared" ca="1" si="11"/>
        <v>43949.135999999999</v>
      </c>
      <c r="Q200" s="721" t="s">
        <v>4855</v>
      </c>
    </row>
    <row r="201" spans="2:17" ht="45" x14ac:dyDescent="0.25">
      <c r="B201" s="719">
        <v>44909</v>
      </c>
      <c r="C201" s="719">
        <v>44998</v>
      </c>
      <c r="D201" s="720" t="s">
        <v>4852</v>
      </c>
      <c r="E201" s="733" t="s">
        <v>4868</v>
      </c>
      <c r="F201" s="734" t="s">
        <v>4866</v>
      </c>
      <c r="G201" s="730" t="s">
        <v>18</v>
      </c>
      <c r="H201" s="735" t="s">
        <v>4611</v>
      </c>
      <c r="I201" s="735" t="s">
        <v>4611</v>
      </c>
      <c r="J201" s="729">
        <v>56105.279999999999</v>
      </c>
      <c r="K201" s="722">
        <v>55.2</v>
      </c>
      <c r="L201" s="723">
        <f t="shared" si="8"/>
        <v>1016.4</v>
      </c>
      <c r="M201" s="736">
        <v>60</v>
      </c>
      <c r="N201" s="737">
        <f t="shared" si="9"/>
        <v>935.08799999999997</v>
      </c>
      <c r="O201" s="738">
        <f t="shared" ca="1" si="12"/>
        <v>13</v>
      </c>
      <c r="P201" s="739">
        <f t="shared" ca="1" si="11"/>
        <v>43949.135999999999</v>
      </c>
      <c r="Q201" s="735" t="s">
        <v>4855</v>
      </c>
    </row>
    <row r="202" spans="2:17" ht="45" x14ac:dyDescent="0.25">
      <c r="B202" s="719">
        <v>44907</v>
      </c>
      <c r="C202" s="740">
        <v>45008</v>
      </c>
      <c r="D202" s="741" t="s">
        <v>4869</v>
      </c>
      <c r="E202" s="720" t="s">
        <v>4870</v>
      </c>
      <c r="F202" s="721" t="s">
        <v>4871</v>
      </c>
      <c r="G202" s="730" t="s">
        <v>18</v>
      </c>
      <c r="H202" s="721" t="s">
        <v>4611</v>
      </c>
      <c r="I202" s="721" t="s">
        <v>4611</v>
      </c>
      <c r="J202" s="729">
        <v>225397.05</v>
      </c>
      <c r="K202" s="722">
        <v>56.3</v>
      </c>
      <c r="L202" s="723">
        <f t="shared" ref="L202:L219" si="13">+J202/K202</f>
        <v>4003.5</v>
      </c>
      <c r="M202" s="720">
        <v>60</v>
      </c>
      <c r="N202" s="724">
        <f t="shared" ref="N202:N219" si="14">+J202/M202</f>
        <v>3756.6174999999998</v>
      </c>
      <c r="O202" s="725">
        <f ca="1">IF(C202&lt;&gt;0,(ROUND((NOW()-C202)/30,0)),0)</f>
        <v>10</v>
      </c>
      <c r="P202" s="723">
        <f t="shared" ref="P202:P219" ca="1" si="15">IF(OR(J202=0,M202=0,O202=0),0,J202-(N202*O202))</f>
        <v>187830.875</v>
      </c>
      <c r="Q202" s="735" t="s">
        <v>4855</v>
      </c>
    </row>
    <row r="203" spans="2:17" ht="45" x14ac:dyDescent="0.25">
      <c r="B203" s="719">
        <v>44907</v>
      </c>
      <c r="C203" s="740">
        <v>45008</v>
      </c>
      <c r="D203" s="741" t="s">
        <v>4869</v>
      </c>
      <c r="E203" s="720" t="s">
        <v>4872</v>
      </c>
      <c r="F203" s="721" t="s">
        <v>4873</v>
      </c>
      <c r="G203" s="730" t="s">
        <v>18</v>
      </c>
      <c r="H203" s="721" t="s">
        <v>4611</v>
      </c>
      <c r="I203" s="721" t="s">
        <v>4611</v>
      </c>
      <c r="J203" s="729">
        <v>225397.05</v>
      </c>
      <c r="K203" s="722">
        <v>56.3</v>
      </c>
      <c r="L203" s="723">
        <f t="shared" si="13"/>
        <v>4003.5</v>
      </c>
      <c r="M203" s="720">
        <v>60</v>
      </c>
      <c r="N203" s="724">
        <f t="shared" si="14"/>
        <v>3756.6174999999998</v>
      </c>
      <c r="O203" s="725">
        <f t="shared" ca="1" si="12"/>
        <v>13</v>
      </c>
      <c r="P203" s="723">
        <f t="shared" ca="1" si="15"/>
        <v>176561.02249999999</v>
      </c>
      <c r="Q203" s="735" t="s">
        <v>4855</v>
      </c>
    </row>
    <row r="204" spans="2:17" ht="45" x14ac:dyDescent="0.25">
      <c r="B204" s="719">
        <v>44907</v>
      </c>
      <c r="C204" s="740">
        <v>45008</v>
      </c>
      <c r="D204" s="741" t="s">
        <v>4869</v>
      </c>
      <c r="E204" s="720" t="s">
        <v>4874</v>
      </c>
      <c r="F204" s="721" t="s">
        <v>4871</v>
      </c>
      <c r="G204" s="730" t="s">
        <v>18</v>
      </c>
      <c r="H204" s="721" t="s">
        <v>4611</v>
      </c>
      <c r="I204" s="721" t="s">
        <v>4611</v>
      </c>
      <c r="J204" s="729">
        <v>225397.05</v>
      </c>
      <c r="K204" s="722">
        <v>56.3</v>
      </c>
      <c r="L204" s="723">
        <f t="shared" si="13"/>
        <v>4003.5</v>
      </c>
      <c r="M204" s="720">
        <v>60</v>
      </c>
      <c r="N204" s="724">
        <f t="shared" si="14"/>
        <v>3756.6174999999998</v>
      </c>
      <c r="O204" s="725">
        <f t="shared" ca="1" si="12"/>
        <v>13</v>
      </c>
      <c r="P204" s="723">
        <f t="shared" ca="1" si="15"/>
        <v>176561.02249999999</v>
      </c>
      <c r="Q204" s="735" t="s">
        <v>4855</v>
      </c>
    </row>
    <row r="205" spans="2:17" ht="45" x14ac:dyDescent="0.25">
      <c r="B205" s="719">
        <v>44907</v>
      </c>
      <c r="C205" s="740">
        <v>45008</v>
      </c>
      <c r="D205" s="741" t="s">
        <v>4869</v>
      </c>
      <c r="E205" s="720" t="s">
        <v>4875</v>
      </c>
      <c r="F205" s="721" t="s">
        <v>4871</v>
      </c>
      <c r="G205" s="730" t="s">
        <v>18</v>
      </c>
      <c r="H205" s="721" t="s">
        <v>4611</v>
      </c>
      <c r="I205" s="721" t="s">
        <v>4611</v>
      </c>
      <c r="J205" s="729">
        <v>225397.05</v>
      </c>
      <c r="K205" s="722">
        <v>56.3</v>
      </c>
      <c r="L205" s="723">
        <f t="shared" si="13"/>
        <v>4003.5</v>
      </c>
      <c r="M205" s="720">
        <v>60</v>
      </c>
      <c r="N205" s="724">
        <f t="shared" si="14"/>
        <v>3756.6174999999998</v>
      </c>
      <c r="O205" s="725">
        <f t="shared" ca="1" si="12"/>
        <v>13</v>
      </c>
      <c r="P205" s="723">
        <f t="shared" ca="1" si="15"/>
        <v>176561.02249999999</v>
      </c>
      <c r="Q205" s="735" t="s">
        <v>4855</v>
      </c>
    </row>
    <row r="206" spans="2:17" ht="60" x14ac:dyDescent="0.25">
      <c r="B206" s="719">
        <v>44907</v>
      </c>
      <c r="C206" s="740">
        <v>45008</v>
      </c>
      <c r="D206" s="741" t="s">
        <v>4869</v>
      </c>
      <c r="E206" s="720" t="s">
        <v>4876</v>
      </c>
      <c r="F206" s="721" t="s">
        <v>4877</v>
      </c>
      <c r="G206" s="730" t="s">
        <v>18</v>
      </c>
      <c r="H206" s="721" t="s">
        <v>4611</v>
      </c>
      <c r="I206" s="721" t="s">
        <v>4611</v>
      </c>
      <c r="J206" s="729">
        <v>29439.27</v>
      </c>
      <c r="K206" s="722">
        <v>56.3</v>
      </c>
      <c r="L206" s="723">
        <f t="shared" si="13"/>
        <v>522.90000000000009</v>
      </c>
      <c r="M206" s="720">
        <v>60</v>
      </c>
      <c r="N206" s="724">
        <f t="shared" si="14"/>
        <v>490.65449999999998</v>
      </c>
      <c r="O206" s="725">
        <f t="shared" ca="1" si="12"/>
        <v>13</v>
      </c>
      <c r="P206" s="723">
        <f t="shared" ca="1" si="15"/>
        <v>23060.761500000001</v>
      </c>
      <c r="Q206" s="735" t="s">
        <v>4855</v>
      </c>
    </row>
    <row r="207" spans="2:17" ht="60" x14ac:dyDescent="0.25">
      <c r="B207" s="719">
        <v>44907</v>
      </c>
      <c r="C207" s="740">
        <v>45008</v>
      </c>
      <c r="D207" s="741" t="s">
        <v>4869</v>
      </c>
      <c r="E207" s="720" t="s">
        <v>4878</v>
      </c>
      <c r="F207" s="721" t="s">
        <v>4877</v>
      </c>
      <c r="G207" s="730" t="s">
        <v>18</v>
      </c>
      <c r="H207" s="721" t="s">
        <v>4611</v>
      </c>
      <c r="I207" s="721" t="s">
        <v>4611</v>
      </c>
      <c r="J207" s="729">
        <v>29439.27</v>
      </c>
      <c r="K207" s="722">
        <v>56.3</v>
      </c>
      <c r="L207" s="723">
        <f t="shared" si="13"/>
        <v>522.90000000000009</v>
      </c>
      <c r="M207" s="720">
        <v>60</v>
      </c>
      <c r="N207" s="724">
        <f t="shared" si="14"/>
        <v>490.65449999999998</v>
      </c>
      <c r="O207" s="725">
        <f t="shared" ca="1" si="12"/>
        <v>13</v>
      </c>
      <c r="P207" s="723">
        <f t="shared" ca="1" si="15"/>
        <v>23060.761500000001</v>
      </c>
      <c r="Q207" s="735" t="s">
        <v>4855</v>
      </c>
    </row>
    <row r="208" spans="2:17" ht="60" x14ac:dyDescent="0.25">
      <c r="B208" s="719">
        <v>44907</v>
      </c>
      <c r="C208" s="740">
        <v>45008</v>
      </c>
      <c r="D208" s="741" t="s">
        <v>4869</v>
      </c>
      <c r="E208" s="720" t="s">
        <v>4879</v>
      </c>
      <c r="F208" s="721" t="s">
        <v>4877</v>
      </c>
      <c r="G208" s="730" t="s">
        <v>18</v>
      </c>
      <c r="H208" s="721" t="s">
        <v>4611</v>
      </c>
      <c r="I208" s="721" t="s">
        <v>4611</v>
      </c>
      <c r="J208" s="729">
        <v>29439.27</v>
      </c>
      <c r="K208" s="722">
        <v>56.3</v>
      </c>
      <c r="L208" s="723">
        <f t="shared" si="13"/>
        <v>522.90000000000009</v>
      </c>
      <c r="M208" s="720">
        <v>60</v>
      </c>
      <c r="N208" s="724">
        <f t="shared" si="14"/>
        <v>490.65449999999998</v>
      </c>
      <c r="O208" s="725">
        <f t="shared" ca="1" si="12"/>
        <v>13</v>
      </c>
      <c r="P208" s="723">
        <f t="shared" ca="1" si="15"/>
        <v>23060.761500000001</v>
      </c>
      <c r="Q208" s="735" t="s">
        <v>4855</v>
      </c>
    </row>
    <row r="209" spans="2:18" ht="60" x14ac:dyDescent="0.25">
      <c r="B209" s="719">
        <v>44907</v>
      </c>
      <c r="C209" s="740">
        <v>45008</v>
      </c>
      <c r="D209" s="741" t="s">
        <v>4869</v>
      </c>
      <c r="E209" s="720" t="s">
        <v>4880</v>
      </c>
      <c r="F209" s="721" t="s">
        <v>4877</v>
      </c>
      <c r="G209" s="730" t="s">
        <v>18</v>
      </c>
      <c r="H209" s="721" t="s">
        <v>4611</v>
      </c>
      <c r="I209" s="721" t="s">
        <v>4611</v>
      </c>
      <c r="J209" s="729">
        <v>29439.27</v>
      </c>
      <c r="K209" s="722">
        <v>56.3</v>
      </c>
      <c r="L209" s="723">
        <f t="shared" si="13"/>
        <v>522.90000000000009</v>
      </c>
      <c r="M209" s="720">
        <v>60</v>
      </c>
      <c r="N209" s="724">
        <f t="shared" si="14"/>
        <v>490.65449999999998</v>
      </c>
      <c r="O209" s="725">
        <f t="shared" ca="1" si="12"/>
        <v>13</v>
      </c>
      <c r="P209" s="723">
        <f t="shared" ca="1" si="15"/>
        <v>23060.761500000001</v>
      </c>
      <c r="Q209" s="735" t="s">
        <v>4855</v>
      </c>
    </row>
    <row r="210" spans="2:18" ht="45" x14ac:dyDescent="0.25">
      <c r="B210" s="719">
        <v>44907</v>
      </c>
      <c r="C210" s="740">
        <v>45008</v>
      </c>
      <c r="D210" s="741" t="s">
        <v>4869</v>
      </c>
      <c r="E210" s="720" t="s">
        <v>4881</v>
      </c>
      <c r="F210" s="721" t="s">
        <v>4882</v>
      </c>
      <c r="G210" s="730" t="s">
        <v>18</v>
      </c>
      <c r="H210" s="721" t="s">
        <v>4611</v>
      </c>
      <c r="I210" s="721" t="s">
        <v>4611</v>
      </c>
      <c r="J210" s="729">
        <v>18874.575000000001</v>
      </c>
      <c r="K210" s="722">
        <v>56.3</v>
      </c>
      <c r="L210" s="723">
        <f t="shared" si="13"/>
        <v>335.25000000000006</v>
      </c>
      <c r="M210" s="720">
        <v>60</v>
      </c>
      <c r="N210" s="724">
        <f t="shared" si="14"/>
        <v>314.57625000000002</v>
      </c>
      <c r="O210" s="725">
        <f t="shared" ca="1" si="12"/>
        <v>13</v>
      </c>
      <c r="P210" s="723">
        <f t="shared" ca="1" si="15"/>
        <v>14785.083750000002</v>
      </c>
      <c r="Q210" s="735" t="s">
        <v>4855</v>
      </c>
    </row>
    <row r="211" spans="2:18" ht="45" x14ac:dyDescent="0.25">
      <c r="B211" s="719">
        <v>44907</v>
      </c>
      <c r="C211" s="740">
        <v>45008</v>
      </c>
      <c r="D211" s="741" t="s">
        <v>4869</v>
      </c>
      <c r="E211" s="720" t="s">
        <v>4883</v>
      </c>
      <c r="F211" s="721" t="s">
        <v>4882</v>
      </c>
      <c r="G211" s="730" t="s">
        <v>18</v>
      </c>
      <c r="H211" s="721" t="s">
        <v>4611</v>
      </c>
      <c r="I211" s="721" t="s">
        <v>4611</v>
      </c>
      <c r="J211" s="729">
        <v>18874.575000000001</v>
      </c>
      <c r="K211" s="722">
        <v>56.3</v>
      </c>
      <c r="L211" s="723">
        <f t="shared" si="13"/>
        <v>335.25000000000006</v>
      </c>
      <c r="M211" s="720">
        <v>60</v>
      </c>
      <c r="N211" s="724">
        <f t="shared" si="14"/>
        <v>314.57625000000002</v>
      </c>
      <c r="O211" s="725">
        <f t="shared" ca="1" si="12"/>
        <v>13</v>
      </c>
      <c r="P211" s="723">
        <f t="shared" ca="1" si="15"/>
        <v>14785.083750000002</v>
      </c>
      <c r="Q211" s="735" t="s">
        <v>4855</v>
      </c>
    </row>
    <row r="212" spans="2:18" ht="45" x14ac:dyDescent="0.25">
      <c r="B212" s="719">
        <v>44907</v>
      </c>
      <c r="C212" s="740">
        <v>45008</v>
      </c>
      <c r="D212" s="741" t="s">
        <v>4869</v>
      </c>
      <c r="E212" s="720" t="s">
        <v>4884</v>
      </c>
      <c r="F212" s="721" t="s">
        <v>4882</v>
      </c>
      <c r="G212" s="730" t="s">
        <v>18</v>
      </c>
      <c r="H212" s="721" t="s">
        <v>4611</v>
      </c>
      <c r="I212" s="721" t="s">
        <v>4611</v>
      </c>
      <c r="J212" s="729">
        <v>18874.575000000001</v>
      </c>
      <c r="K212" s="722">
        <v>56.3</v>
      </c>
      <c r="L212" s="723">
        <f t="shared" si="13"/>
        <v>335.25000000000006</v>
      </c>
      <c r="M212" s="720">
        <v>60</v>
      </c>
      <c r="N212" s="724">
        <f t="shared" si="14"/>
        <v>314.57625000000002</v>
      </c>
      <c r="O212" s="725">
        <f t="shared" ca="1" si="12"/>
        <v>13</v>
      </c>
      <c r="P212" s="723">
        <f t="shared" ca="1" si="15"/>
        <v>14785.083750000002</v>
      </c>
      <c r="Q212" s="735" t="s">
        <v>4855</v>
      </c>
    </row>
    <row r="213" spans="2:18" ht="45" x14ac:dyDescent="0.25">
      <c r="B213" s="719">
        <v>44907</v>
      </c>
      <c r="C213" s="740">
        <v>45008</v>
      </c>
      <c r="D213" s="741" t="s">
        <v>4869</v>
      </c>
      <c r="E213" s="720" t="s">
        <v>4885</v>
      </c>
      <c r="F213" s="721" t="s">
        <v>4882</v>
      </c>
      <c r="G213" s="730" t="s">
        <v>18</v>
      </c>
      <c r="H213" s="721" t="s">
        <v>4611</v>
      </c>
      <c r="I213" s="721" t="s">
        <v>4611</v>
      </c>
      <c r="J213" s="729">
        <v>18874.575000000001</v>
      </c>
      <c r="K213" s="722">
        <v>56.3</v>
      </c>
      <c r="L213" s="723">
        <f t="shared" si="13"/>
        <v>335.25000000000006</v>
      </c>
      <c r="M213" s="720">
        <v>60</v>
      </c>
      <c r="N213" s="724">
        <f t="shared" si="14"/>
        <v>314.57625000000002</v>
      </c>
      <c r="O213" s="725">
        <f t="shared" ca="1" si="12"/>
        <v>13</v>
      </c>
      <c r="P213" s="723">
        <f t="shared" ca="1" si="15"/>
        <v>14785.083750000002</v>
      </c>
      <c r="Q213" s="735" t="s">
        <v>4855</v>
      </c>
    </row>
    <row r="214" spans="2:18" ht="60" x14ac:dyDescent="0.25">
      <c r="B214" s="719">
        <v>44907</v>
      </c>
      <c r="C214" s="740">
        <v>45008</v>
      </c>
      <c r="D214" s="741" t="s">
        <v>4869</v>
      </c>
      <c r="E214" s="720" t="s">
        <v>4886</v>
      </c>
      <c r="F214" s="721" t="s">
        <v>4887</v>
      </c>
      <c r="G214" s="730" t="s">
        <v>18</v>
      </c>
      <c r="H214" s="721" t="s">
        <v>4611</v>
      </c>
      <c r="I214" s="721" t="s">
        <v>4611</v>
      </c>
      <c r="J214" s="729">
        <v>32935.5</v>
      </c>
      <c r="K214" s="722">
        <v>56.3</v>
      </c>
      <c r="L214" s="723">
        <f t="shared" si="13"/>
        <v>585</v>
      </c>
      <c r="M214" s="720">
        <v>60</v>
      </c>
      <c r="N214" s="724">
        <f t="shared" si="14"/>
        <v>548.92499999999995</v>
      </c>
      <c r="O214" s="725">
        <f t="shared" ca="1" si="12"/>
        <v>13</v>
      </c>
      <c r="P214" s="723">
        <f t="shared" ca="1" si="15"/>
        <v>25799.474999999999</v>
      </c>
      <c r="Q214" s="735" t="s">
        <v>4855</v>
      </c>
    </row>
    <row r="215" spans="2:18" ht="60" x14ac:dyDescent="0.25">
      <c r="B215" s="719">
        <v>44907</v>
      </c>
      <c r="C215" s="740">
        <v>45008</v>
      </c>
      <c r="D215" s="741" t="s">
        <v>4869</v>
      </c>
      <c r="E215" s="720" t="s">
        <v>4888</v>
      </c>
      <c r="F215" s="721" t="s">
        <v>4887</v>
      </c>
      <c r="G215" s="730" t="s">
        <v>18</v>
      </c>
      <c r="H215" s="721" t="s">
        <v>4611</v>
      </c>
      <c r="I215" s="721" t="s">
        <v>4611</v>
      </c>
      <c r="J215" s="729">
        <v>32935.5</v>
      </c>
      <c r="K215" s="722">
        <v>56.3</v>
      </c>
      <c r="L215" s="723">
        <f t="shared" si="13"/>
        <v>585</v>
      </c>
      <c r="M215" s="720">
        <v>60</v>
      </c>
      <c r="N215" s="724">
        <f t="shared" si="14"/>
        <v>548.92499999999995</v>
      </c>
      <c r="O215" s="725">
        <f t="shared" ca="1" si="12"/>
        <v>13</v>
      </c>
      <c r="P215" s="723">
        <f t="shared" ca="1" si="15"/>
        <v>25799.474999999999</v>
      </c>
      <c r="Q215" s="735" t="s">
        <v>4855</v>
      </c>
    </row>
    <row r="216" spans="2:18" ht="60" x14ac:dyDescent="0.25">
      <c r="B216" s="719">
        <v>44907</v>
      </c>
      <c r="C216" s="740">
        <v>45008</v>
      </c>
      <c r="D216" s="741" t="s">
        <v>4869</v>
      </c>
      <c r="E216" s="720" t="s">
        <v>4889</v>
      </c>
      <c r="F216" s="721" t="s">
        <v>4887</v>
      </c>
      <c r="G216" s="730" t="s">
        <v>18</v>
      </c>
      <c r="H216" s="721" t="s">
        <v>4611</v>
      </c>
      <c r="I216" s="721" t="s">
        <v>4611</v>
      </c>
      <c r="J216" s="729">
        <v>32935.5</v>
      </c>
      <c r="K216" s="722">
        <v>56.3</v>
      </c>
      <c r="L216" s="723">
        <f t="shared" si="13"/>
        <v>585</v>
      </c>
      <c r="M216" s="720">
        <v>60</v>
      </c>
      <c r="N216" s="724">
        <f t="shared" si="14"/>
        <v>548.92499999999995</v>
      </c>
      <c r="O216" s="725">
        <f t="shared" ca="1" si="12"/>
        <v>13</v>
      </c>
      <c r="P216" s="723">
        <f t="shared" ca="1" si="15"/>
        <v>25799.474999999999</v>
      </c>
      <c r="Q216" s="735" t="s">
        <v>4855</v>
      </c>
    </row>
    <row r="217" spans="2:18" ht="60" x14ac:dyDescent="0.25">
      <c r="B217" s="719">
        <v>44907</v>
      </c>
      <c r="C217" s="740">
        <v>45008</v>
      </c>
      <c r="D217" s="741" t="s">
        <v>4869</v>
      </c>
      <c r="E217" s="720" t="s">
        <v>4890</v>
      </c>
      <c r="F217" s="721" t="s">
        <v>4887</v>
      </c>
      <c r="G217" s="730" t="s">
        <v>18</v>
      </c>
      <c r="H217" s="721" t="s">
        <v>4611</v>
      </c>
      <c r="I217" s="721" t="s">
        <v>4611</v>
      </c>
      <c r="J217" s="729">
        <v>32935.5</v>
      </c>
      <c r="K217" s="722">
        <v>56.3</v>
      </c>
      <c r="L217" s="723">
        <f t="shared" si="13"/>
        <v>585</v>
      </c>
      <c r="M217" s="720">
        <v>60</v>
      </c>
      <c r="N217" s="724">
        <f t="shared" si="14"/>
        <v>548.92499999999995</v>
      </c>
      <c r="O217" s="725">
        <f t="shared" ca="1" si="12"/>
        <v>13</v>
      </c>
      <c r="P217" s="723">
        <f t="shared" ca="1" si="15"/>
        <v>25799.474999999999</v>
      </c>
      <c r="Q217" s="735" t="s">
        <v>4855</v>
      </c>
    </row>
    <row r="218" spans="2:18" ht="45" x14ac:dyDescent="0.25">
      <c r="B218" s="719">
        <v>44909</v>
      </c>
      <c r="C218" s="740">
        <v>45101</v>
      </c>
      <c r="D218" s="741" t="s">
        <v>4891</v>
      </c>
      <c r="E218" s="720" t="s">
        <v>4892</v>
      </c>
      <c r="F218" s="721" t="s">
        <v>4893</v>
      </c>
      <c r="G218" s="730" t="s">
        <v>18</v>
      </c>
      <c r="H218" s="721" t="s">
        <v>4611</v>
      </c>
      <c r="I218" s="721" t="s">
        <v>4611</v>
      </c>
      <c r="J218" s="470">
        <v>5878400</v>
      </c>
      <c r="K218" s="722">
        <v>56.3</v>
      </c>
      <c r="L218" s="723">
        <f t="shared" si="13"/>
        <v>104412.07815275311</v>
      </c>
      <c r="M218" s="720">
        <v>60</v>
      </c>
      <c r="N218" s="724">
        <f t="shared" si="14"/>
        <v>97973.333333333328</v>
      </c>
      <c r="O218" s="725">
        <f t="shared" ca="1" si="12"/>
        <v>13</v>
      </c>
      <c r="P218" s="723">
        <f t="shared" ca="1" si="15"/>
        <v>4604746.666666667</v>
      </c>
      <c r="Q218" s="721" t="s">
        <v>4855</v>
      </c>
    </row>
    <row r="219" spans="2:18" ht="45" x14ac:dyDescent="0.25">
      <c r="B219" s="719">
        <v>44909</v>
      </c>
      <c r="C219" s="740">
        <v>45101</v>
      </c>
      <c r="D219" s="741" t="s">
        <v>4891</v>
      </c>
      <c r="E219" s="720" t="s">
        <v>4894</v>
      </c>
      <c r="F219" s="721" t="s">
        <v>4895</v>
      </c>
      <c r="G219" s="730" t="s">
        <v>18</v>
      </c>
      <c r="H219" s="721" t="s">
        <v>4611</v>
      </c>
      <c r="I219" s="721" t="s">
        <v>4611</v>
      </c>
      <c r="J219" s="470">
        <v>4644961.13</v>
      </c>
      <c r="K219" s="722">
        <v>56.3</v>
      </c>
      <c r="L219" s="723">
        <f t="shared" si="13"/>
        <v>82503.750088809946</v>
      </c>
      <c r="M219" s="720">
        <v>60</v>
      </c>
      <c r="N219" s="724">
        <f t="shared" si="14"/>
        <v>77416.018833333335</v>
      </c>
      <c r="O219" s="725">
        <f t="shared" ca="1" si="12"/>
        <v>13</v>
      </c>
      <c r="P219" s="723">
        <f t="shared" ca="1" si="15"/>
        <v>3638552.8851666665</v>
      </c>
      <c r="Q219" s="721" t="s">
        <v>4855</v>
      </c>
    </row>
    <row r="220" spans="2:18" ht="45" x14ac:dyDescent="0.25">
      <c r="B220" s="719">
        <v>44749</v>
      </c>
      <c r="C220" s="719">
        <v>45083</v>
      </c>
      <c r="D220" s="720" t="s">
        <v>4907</v>
      </c>
      <c r="E220" s="755" t="s">
        <v>18</v>
      </c>
      <c r="F220" s="721" t="s">
        <v>4908</v>
      </c>
      <c r="G220" s="639" t="s">
        <v>4909</v>
      </c>
      <c r="H220" s="721" t="s">
        <v>4611</v>
      </c>
      <c r="I220" s="721" t="s">
        <v>4611</v>
      </c>
      <c r="J220" s="732">
        <v>10151280</v>
      </c>
      <c r="K220" s="732">
        <v>55.2</v>
      </c>
      <c r="L220" s="723">
        <f t="shared" ref="L220:L223" si="16">+J220/K220</f>
        <v>183900</v>
      </c>
      <c r="M220" s="720">
        <v>60</v>
      </c>
      <c r="N220" s="724">
        <f>+J220/M220</f>
        <v>169188</v>
      </c>
      <c r="O220" s="725">
        <f t="shared" ref="O220:O223" ca="1" si="17">IF(B220&lt;&gt;0,(ROUND((NOW()-B220)/30,0)),0)</f>
        <v>18</v>
      </c>
      <c r="P220" s="723">
        <f ca="1">IF(OR(J220=0,M220=0,O220=0),0,J220-(N220*O220))</f>
        <v>7105896</v>
      </c>
      <c r="Q220" s="721" t="s">
        <v>4855</v>
      </c>
    </row>
    <row r="221" spans="2:18" ht="75" x14ac:dyDescent="0.25">
      <c r="B221" s="719">
        <v>44749</v>
      </c>
      <c r="C221" s="719">
        <v>45083</v>
      </c>
      <c r="D221" s="720" t="s">
        <v>4907</v>
      </c>
      <c r="E221" s="755" t="s">
        <v>18</v>
      </c>
      <c r="F221" s="721" t="s">
        <v>4910</v>
      </c>
      <c r="G221" s="639" t="s">
        <v>4911</v>
      </c>
      <c r="H221" s="721" t="s">
        <v>4611</v>
      </c>
      <c r="I221" s="721" t="s">
        <v>4611</v>
      </c>
      <c r="J221" s="732">
        <v>966110.4</v>
      </c>
      <c r="K221" s="732">
        <v>55.2</v>
      </c>
      <c r="L221" s="723">
        <f t="shared" si="16"/>
        <v>17502</v>
      </c>
      <c r="M221" s="720">
        <v>60</v>
      </c>
      <c r="N221" s="724">
        <f t="shared" ref="N221:N223" si="18">+J221/M221</f>
        <v>16101.84</v>
      </c>
      <c r="O221" s="725">
        <f t="shared" ca="1" si="17"/>
        <v>18</v>
      </c>
      <c r="P221" s="723">
        <f t="shared" ref="P221:P223" ca="1" si="19">IF(OR(J221=0,M221=0,O221=0),0,J221-(N221*O221))</f>
        <v>676277.28</v>
      </c>
      <c r="Q221" s="721" t="s">
        <v>4855</v>
      </c>
    </row>
    <row r="222" spans="2:18" ht="45" x14ac:dyDescent="0.25">
      <c r="B222" s="719">
        <v>44749</v>
      </c>
      <c r="C222" s="719">
        <v>45083</v>
      </c>
      <c r="D222" s="720" t="s">
        <v>4907</v>
      </c>
      <c r="E222" s="755" t="s">
        <v>18</v>
      </c>
      <c r="F222" s="721" t="s">
        <v>4912</v>
      </c>
      <c r="G222" s="639" t="s">
        <v>4913</v>
      </c>
      <c r="H222" s="721" t="s">
        <v>4611</v>
      </c>
      <c r="I222" s="721" t="s">
        <v>4611</v>
      </c>
      <c r="J222" s="732">
        <v>1379862</v>
      </c>
      <c r="K222" s="732">
        <v>55.2</v>
      </c>
      <c r="L222" s="723">
        <f t="shared" si="16"/>
        <v>24997.5</v>
      </c>
      <c r="M222" s="720">
        <v>60</v>
      </c>
      <c r="N222" s="724">
        <f t="shared" si="18"/>
        <v>22997.7</v>
      </c>
      <c r="O222" s="725">
        <f t="shared" ca="1" si="17"/>
        <v>18</v>
      </c>
      <c r="P222" s="723">
        <f t="shared" ca="1" si="19"/>
        <v>965903.39999999991</v>
      </c>
      <c r="Q222" s="721" t="s">
        <v>4855</v>
      </c>
    </row>
    <row r="223" spans="2:18" ht="75" x14ac:dyDescent="0.25">
      <c r="B223" s="719">
        <v>44749</v>
      </c>
      <c r="C223" s="719">
        <v>45083</v>
      </c>
      <c r="D223" s="720" t="s">
        <v>4907</v>
      </c>
      <c r="E223" s="755" t="s">
        <v>18</v>
      </c>
      <c r="F223" s="721" t="s">
        <v>4914</v>
      </c>
      <c r="G223" s="639" t="s">
        <v>4915</v>
      </c>
      <c r="H223" s="721" t="s">
        <v>4611</v>
      </c>
      <c r="I223" s="721" t="s">
        <v>4611</v>
      </c>
      <c r="J223" s="732">
        <v>320436</v>
      </c>
      <c r="K223" s="732">
        <v>55.2</v>
      </c>
      <c r="L223" s="723">
        <f t="shared" si="16"/>
        <v>5805</v>
      </c>
      <c r="M223" s="720">
        <v>60</v>
      </c>
      <c r="N223" s="724">
        <f t="shared" si="18"/>
        <v>5340.6</v>
      </c>
      <c r="O223" s="725">
        <f t="shared" ca="1" si="17"/>
        <v>18</v>
      </c>
      <c r="P223" s="723">
        <f t="shared" ca="1" si="19"/>
        <v>224305.2</v>
      </c>
      <c r="Q223" s="721" t="s">
        <v>4855</v>
      </c>
    </row>
    <row r="224" spans="2:18" ht="60" x14ac:dyDescent="0.25">
      <c r="B224" s="742">
        <v>44943</v>
      </c>
      <c r="C224" s="742">
        <v>45103</v>
      </c>
      <c r="D224" s="743" t="s">
        <v>4896</v>
      </c>
      <c r="E224" s="744" t="s">
        <v>4897</v>
      </c>
      <c r="F224" s="745" t="s">
        <v>4898</v>
      </c>
      <c r="G224" s="746" t="s">
        <v>18</v>
      </c>
      <c r="H224" s="745" t="s">
        <v>4611</v>
      </c>
      <c r="I224" s="745" t="s">
        <v>4611</v>
      </c>
      <c r="J224" s="747">
        <v>1350000</v>
      </c>
      <c r="K224" s="747">
        <v>55.981900000000003</v>
      </c>
      <c r="L224" s="748">
        <f>+J224/K224</f>
        <v>24114.93714932862</v>
      </c>
      <c r="M224" s="746">
        <v>48</v>
      </c>
      <c r="N224" s="749">
        <f>+J224/M224</f>
        <v>28125</v>
      </c>
      <c r="O224" s="750">
        <f ca="1">IF(B224&lt;&gt;0,(ROUND((NOW()-B224)/30,0)),0)</f>
        <v>12</v>
      </c>
      <c r="P224" s="748">
        <f ca="1">IF(OR(J224=0,M224=0,O224=0),0,J224-(N224*O224))</f>
        <v>1012500</v>
      </c>
      <c r="Q224" s="745" t="s">
        <v>4855</v>
      </c>
      <c r="R224" s="712" t="s">
        <v>4899</v>
      </c>
    </row>
    <row r="225" spans="2:18" ht="60" x14ac:dyDescent="0.25">
      <c r="B225" s="742">
        <v>45007</v>
      </c>
      <c r="C225" s="742">
        <v>45103</v>
      </c>
      <c r="D225" s="743" t="s">
        <v>4900</v>
      </c>
      <c r="E225" s="745" t="s">
        <v>4205</v>
      </c>
      <c r="F225" s="745" t="s">
        <v>4901</v>
      </c>
      <c r="G225" s="746" t="s">
        <v>4902</v>
      </c>
      <c r="H225" s="745" t="s">
        <v>4611</v>
      </c>
      <c r="I225" s="745" t="s">
        <v>4611</v>
      </c>
      <c r="J225" s="751">
        <v>5743827</v>
      </c>
      <c r="K225" s="747">
        <v>55.981900000000003</v>
      </c>
      <c r="L225" s="748">
        <f>+J225/K225</f>
        <v>102601.50155675317</v>
      </c>
      <c r="M225" s="746">
        <v>60</v>
      </c>
      <c r="N225" s="749">
        <f>+J225/M225</f>
        <v>95730.45</v>
      </c>
      <c r="O225" s="750">
        <f ca="1">IF(B225&lt;&gt;0,(ROUND((NOW()-B225)/30,0)),0)</f>
        <v>10</v>
      </c>
      <c r="P225" s="748">
        <f ca="1">IF(OR(J225=0,M225=0,O225=0),0,J225-(N225*O225))</f>
        <v>4786522.5</v>
      </c>
      <c r="Q225" s="745" t="s">
        <v>4903</v>
      </c>
      <c r="R225" s="712" t="s">
        <v>4899</v>
      </c>
    </row>
    <row r="226" spans="2:18" ht="45" x14ac:dyDescent="0.25">
      <c r="B226" s="719">
        <v>45008</v>
      </c>
      <c r="C226" s="719">
        <v>45112</v>
      </c>
      <c r="D226" s="741" t="s">
        <v>4904</v>
      </c>
      <c r="E226" s="752" t="s">
        <v>18</v>
      </c>
      <c r="F226" s="735" t="s">
        <v>4905</v>
      </c>
      <c r="G226" s="753" t="s">
        <v>18</v>
      </c>
      <c r="H226" s="735" t="s">
        <v>4611</v>
      </c>
      <c r="I226" s="735" t="s">
        <v>4611</v>
      </c>
      <c r="J226" s="754">
        <v>306800</v>
      </c>
      <c r="K226" s="754">
        <v>54.925699999999999</v>
      </c>
      <c r="L226" s="723">
        <f>+J226/K226</f>
        <v>5585.7276284143854</v>
      </c>
      <c r="M226" s="736">
        <v>60</v>
      </c>
      <c r="N226" s="724">
        <f>+J226/M226</f>
        <v>5113.333333333333</v>
      </c>
      <c r="O226" s="725">
        <f ca="1">IF(B226&lt;&gt;0,(ROUND((NOW()-B226)/30,0)),0)</f>
        <v>10</v>
      </c>
      <c r="P226" s="723">
        <f ca="1">IF(OR(J226=0,M226=0,O226=0),0,J226-(N226*O226))</f>
        <v>255666.66666666669</v>
      </c>
      <c r="Q226" s="721" t="s">
        <v>4906</v>
      </c>
    </row>
    <row r="227" spans="2:18" ht="15.75" x14ac:dyDescent="0.25">
      <c r="B227" s="740"/>
      <c r="C227" s="740"/>
      <c r="D227" s="730"/>
      <c r="F227" s="867" t="s">
        <v>2334</v>
      </c>
      <c r="G227" s="867"/>
      <c r="H227" s="867"/>
      <c r="I227" s="867"/>
      <c r="J227" s="756">
        <f>SUM(J10:J226)</f>
        <v>56064246.019999996</v>
      </c>
      <c r="K227" s="756"/>
      <c r="L227" s="757">
        <f>SUM(L10:L226)</f>
        <v>1004197.3176174718</v>
      </c>
      <c r="P227" s="756">
        <f ca="1">SUM(P10:P126)</f>
        <v>11786013.159499995</v>
      </c>
    </row>
    <row r="228" spans="2:18" ht="15.75" thickBot="1" x14ac:dyDescent="0.3">
      <c r="B228" s="740"/>
      <c r="C228" s="740"/>
      <c r="D228" s="730"/>
      <c r="G228" s="758"/>
      <c r="L228" s="470"/>
    </row>
    <row r="229" spans="2:18" ht="15.75" thickBot="1" x14ac:dyDescent="0.3">
      <c r="B229" s="740"/>
      <c r="C229" s="740"/>
      <c r="D229" s="730"/>
      <c r="G229" s="868" t="s">
        <v>2335</v>
      </c>
      <c r="H229" s="868"/>
      <c r="I229" s="869"/>
      <c r="L229" s="470"/>
    </row>
    <row r="230" spans="2:18" ht="29.25" thickBot="1" x14ac:dyDescent="0.3">
      <c r="B230" s="740"/>
      <c r="C230" s="740"/>
      <c r="D230" s="730"/>
      <c r="G230" s="440"/>
      <c r="H230" s="441" t="s">
        <v>2336</v>
      </c>
      <c r="I230" s="441" t="s">
        <v>2337</v>
      </c>
      <c r="L230" s="470"/>
    </row>
    <row r="231" spans="2:18" ht="16.5" thickBot="1" x14ac:dyDescent="0.3">
      <c r="B231" s="740"/>
      <c r="C231" s="740"/>
      <c r="D231" s="730"/>
      <c r="G231" s="759" t="s">
        <v>2358</v>
      </c>
      <c r="H231" s="760">
        <f>SUM(J10:J223)</f>
        <v>48663619.019999996</v>
      </c>
      <c r="I231" s="760">
        <f>SUM(L10:L219)</f>
        <v>639690.65128297557</v>
      </c>
      <c r="L231" s="470"/>
    </row>
    <row r="232" spans="2:18" ht="16.5" thickBot="1" x14ac:dyDescent="0.3">
      <c r="B232" s="740"/>
      <c r="C232" s="740"/>
      <c r="D232" s="730"/>
      <c r="G232" s="759" t="s">
        <v>4343</v>
      </c>
      <c r="H232" s="760">
        <f>SUM(J224:J226)</f>
        <v>7400627</v>
      </c>
      <c r="I232" s="760">
        <f>SUM(L220:L223)</f>
        <v>232204.5</v>
      </c>
      <c r="L232" s="470"/>
    </row>
    <row r="233" spans="2:18" x14ac:dyDescent="0.25">
      <c r="B233" s="740"/>
      <c r="C233" s="740"/>
      <c r="G233" s="730"/>
      <c r="L233" s="470"/>
    </row>
    <row r="234" spans="2:18" x14ac:dyDescent="0.25">
      <c r="B234" s="740"/>
      <c r="C234" s="740"/>
      <c r="G234" s="730"/>
      <c r="L234" s="470"/>
    </row>
    <row r="235" spans="2:18" x14ac:dyDescent="0.25">
      <c r="B235" s="740"/>
      <c r="C235" s="740"/>
      <c r="G235" s="730"/>
      <c r="L235" s="470"/>
    </row>
    <row r="236" spans="2:18" x14ac:dyDescent="0.25">
      <c r="B236" s="507" t="s">
        <v>4930</v>
      </c>
      <c r="C236" s="507"/>
      <c r="J236"/>
      <c r="K236"/>
      <c r="M236" s="396"/>
      <c r="N236" s="613"/>
      <c r="O236" s="611"/>
    </row>
    <row r="237" spans="2:18" x14ac:dyDescent="0.25">
      <c r="B237" s="503"/>
      <c r="C237" s="503"/>
      <c r="J237"/>
      <c r="K237"/>
      <c r="M237" s="396"/>
      <c r="N237" s="613"/>
      <c r="O237" s="611"/>
    </row>
    <row r="238" spans="2:18" x14ac:dyDescent="0.25">
      <c r="B238" s="508" t="s">
        <v>2360</v>
      </c>
      <c r="C238" s="508"/>
      <c r="F238" s="839" t="s">
        <v>2361</v>
      </c>
      <c r="G238" s="839"/>
      <c r="H238" s="870" t="s">
        <v>2362</v>
      </c>
      <c r="I238" s="870"/>
      <c r="J238" s="870"/>
      <c r="K238" s="880" t="s">
        <v>2362</v>
      </c>
      <c r="L238" s="880"/>
      <c r="M238" s="880"/>
      <c r="N238" s="880"/>
      <c r="O238" s="880"/>
    </row>
    <row r="239" spans="2:18" x14ac:dyDescent="0.25">
      <c r="B239" s="509"/>
      <c r="C239" s="509"/>
      <c r="F239" s="445"/>
      <c r="G239" s="445"/>
      <c r="H239" s="445"/>
      <c r="I239" s="445"/>
      <c r="J239" s="445"/>
      <c r="K239" s="445"/>
      <c r="L239" s="445"/>
      <c r="M239" s="463"/>
      <c r="N239" s="463"/>
      <c r="O239" s="445"/>
    </row>
    <row r="240" spans="2:18" x14ac:dyDescent="0.25">
      <c r="B240" s="503"/>
      <c r="C240" s="503"/>
      <c r="F240" s="446"/>
      <c r="H240" s="446"/>
      <c r="J240"/>
      <c r="K240"/>
      <c r="M240" s="396"/>
      <c r="N240" s="613"/>
      <c r="O240" s="611"/>
    </row>
    <row r="241" spans="2:15" x14ac:dyDescent="0.25">
      <c r="B241" s="510" t="s">
        <v>2363</v>
      </c>
      <c r="C241" s="510"/>
      <c r="F241" s="447" t="s">
        <v>2364</v>
      </c>
      <c r="H241" s="448"/>
      <c r="I241" s="449" t="s">
        <v>2365</v>
      </c>
      <c r="J241" s="464"/>
      <c r="K241" s="465" t="s">
        <v>2366</v>
      </c>
      <c r="L241" t="s">
        <v>2771</v>
      </c>
      <c r="M241" s="396"/>
      <c r="N241" s="613"/>
      <c r="O241" s="611"/>
    </row>
    <row r="242" spans="2:15" x14ac:dyDescent="0.25">
      <c r="B242" s="511" t="s">
        <v>2367</v>
      </c>
      <c r="C242" s="511"/>
      <c r="D242" s="450"/>
      <c r="E242" s="451"/>
      <c r="F242" s="452" t="s">
        <v>2368</v>
      </c>
      <c r="G242" s="392"/>
      <c r="H242" s="884" t="s">
        <v>2369</v>
      </c>
      <c r="I242" s="882"/>
      <c r="J242" s="392"/>
      <c r="K242" s="564" t="s">
        <v>4399</v>
      </c>
      <c r="L242" s="881" t="s">
        <v>4928</v>
      </c>
      <c r="M242" s="768"/>
      <c r="N242" s="466"/>
      <c r="O242" s="392"/>
    </row>
    <row r="243" spans="2:15" x14ac:dyDescent="0.25">
      <c r="B243" s="512" t="s">
        <v>2370</v>
      </c>
      <c r="C243" s="512"/>
      <c r="D243" s="453"/>
      <c r="E243" s="453"/>
      <c r="F243" s="835" t="s">
        <v>2371</v>
      </c>
      <c r="G243" s="835"/>
      <c r="H243" s="883" t="s">
        <v>2372</v>
      </c>
      <c r="I243" s="883"/>
      <c r="J243" s="883"/>
      <c r="K243" s="862" t="s">
        <v>2373</v>
      </c>
      <c r="L243" s="862"/>
      <c r="M243" s="862"/>
      <c r="N243" s="862"/>
      <c r="O243" s="862"/>
    </row>
    <row r="244" spans="2:15" x14ac:dyDescent="0.25">
      <c r="B244" s="508" t="s">
        <v>4925</v>
      </c>
      <c r="C244" s="508"/>
      <c r="D244" s="454"/>
      <c r="H244" s="455"/>
      <c r="I244" s="455"/>
      <c r="J244" s="455"/>
      <c r="K244"/>
      <c r="M244" s="396"/>
      <c r="N244" s="613"/>
      <c r="O244" s="611"/>
    </row>
    <row r="245" spans="2:15" x14ac:dyDescent="0.25">
      <c r="B245" s="503"/>
      <c r="C245" s="503"/>
      <c r="J245"/>
      <c r="K245"/>
      <c r="M245" s="396"/>
      <c r="N245" s="613"/>
      <c r="O245" s="611"/>
    </row>
    <row r="246" spans="2:15" x14ac:dyDescent="0.25">
      <c r="B246" s="503"/>
      <c r="C246" s="503"/>
      <c r="J246"/>
      <c r="K246"/>
      <c r="M246" s="396"/>
      <c r="N246" s="613"/>
      <c r="O246" s="611"/>
    </row>
    <row r="247" spans="2:15" x14ac:dyDescent="0.25">
      <c r="B247" s="507" t="s">
        <v>4931</v>
      </c>
      <c r="C247" s="507"/>
      <c r="J247"/>
      <c r="K247"/>
      <c r="L247" t="s">
        <v>4929</v>
      </c>
      <c r="M247" s="396"/>
      <c r="N247" s="613"/>
      <c r="O247" s="611"/>
    </row>
    <row r="248" spans="2:15" x14ac:dyDescent="0.25">
      <c r="B248" s="740"/>
      <c r="C248" s="740"/>
      <c r="G248" s="730"/>
      <c r="L248" s="470"/>
    </row>
    <row r="249" spans="2:15" x14ac:dyDescent="0.25">
      <c r="B249" s="740"/>
      <c r="C249" s="740"/>
      <c r="G249" s="730"/>
      <c r="L249" s="470"/>
    </row>
    <row r="250" spans="2:15" x14ac:dyDescent="0.25">
      <c r="B250" s="740"/>
      <c r="C250" s="740"/>
      <c r="G250" s="730"/>
      <c r="L250" s="470"/>
    </row>
    <row r="251" spans="2:15" x14ac:dyDescent="0.25">
      <c r="B251" s="740"/>
      <c r="C251" s="740"/>
      <c r="G251" s="730"/>
      <c r="L251" s="470"/>
    </row>
    <row r="252" spans="2:15" x14ac:dyDescent="0.25">
      <c r="B252" s="740"/>
      <c r="C252" s="740"/>
      <c r="G252" s="730"/>
      <c r="L252" s="470"/>
    </row>
    <row r="253" spans="2:15" x14ac:dyDescent="0.25">
      <c r="B253" s="740"/>
      <c r="C253" s="740"/>
      <c r="G253" s="730"/>
      <c r="L253" s="470"/>
    </row>
    <row r="254" spans="2:15" x14ac:dyDescent="0.25">
      <c r="B254" s="740"/>
      <c r="C254" s="740"/>
      <c r="G254" s="730"/>
      <c r="L254" s="470"/>
    </row>
    <row r="255" spans="2:15" x14ac:dyDescent="0.25">
      <c r="B255" s="740"/>
      <c r="C255" s="740"/>
      <c r="G255" s="730"/>
      <c r="L255" s="470"/>
    </row>
    <row r="256" spans="2:15" x14ac:dyDescent="0.25">
      <c r="B256" s="740"/>
      <c r="C256" s="740"/>
      <c r="G256" s="730"/>
      <c r="L256" s="470"/>
    </row>
    <row r="257" spans="2:12" x14ac:dyDescent="0.25">
      <c r="B257" s="740"/>
      <c r="C257" s="740"/>
      <c r="G257" s="730"/>
      <c r="L257" s="470"/>
    </row>
    <row r="258" spans="2:12" x14ac:dyDescent="0.25">
      <c r="B258" s="740"/>
      <c r="C258" s="740"/>
      <c r="G258" s="730"/>
      <c r="L258" s="470"/>
    </row>
    <row r="259" spans="2:12" x14ac:dyDescent="0.25">
      <c r="B259" s="740"/>
      <c r="C259" s="740"/>
      <c r="G259" s="730"/>
      <c r="L259" s="470"/>
    </row>
    <row r="260" spans="2:12" x14ac:dyDescent="0.25">
      <c r="B260" s="740"/>
      <c r="C260" s="740"/>
      <c r="G260" s="730"/>
      <c r="L260" s="470"/>
    </row>
    <row r="261" spans="2:12" x14ac:dyDescent="0.25">
      <c r="B261" s="740"/>
      <c r="C261" s="740"/>
      <c r="G261" s="730"/>
      <c r="L261" s="470"/>
    </row>
    <row r="262" spans="2:12" x14ac:dyDescent="0.25">
      <c r="B262" s="740"/>
      <c r="C262" s="740"/>
      <c r="G262" s="730"/>
      <c r="L262" s="470"/>
    </row>
    <row r="263" spans="2:12" x14ac:dyDescent="0.25">
      <c r="B263" s="740"/>
      <c r="C263" s="740"/>
      <c r="G263" s="730"/>
      <c r="L263" s="470"/>
    </row>
    <row r="264" spans="2:12" x14ac:dyDescent="0.25">
      <c r="B264" s="740"/>
      <c r="C264" s="740"/>
      <c r="G264" s="730"/>
      <c r="L264" s="470"/>
    </row>
    <row r="265" spans="2:12" x14ac:dyDescent="0.25">
      <c r="B265" s="740"/>
      <c r="C265" s="740"/>
      <c r="G265" s="730"/>
      <c r="L265" s="470"/>
    </row>
    <row r="266" spans="2:12" x14ac:dyDescent="0.25">
      <c r="B266" s="740"/>
      <c r="C266" s="740"/>
      <c r="G266" s="730"/>
      <c r="L266" s="470"/>
    </row>
    <row r="267" spans="2:12" x14ac:dyDescent="0.25">
      <c r="B267" s="740"/>
      <c r="C267" s="740"/>
      <c r="G267" s="730"/>
      <c r="L267" s="470"/>
    </row>
    <row r="268" spans="2:12" x14ac:dyDescent="0.25">
      <c r="B268" s="740"/>
      <c r="C268" s="740"/>
      <c r="G268" s="730"/>
      <c r="L268" s="470"/>
    </row>
    <row r="269" spans="2:12" x14ac:dyDescent="0.25">
      <c r="B269" s="740"/>
      <c r="C269" s="740"/>
      <c r="G269" s="730"/>
      <c r="L269" s="470"/>
    </row>
    <row r="270" spans="2:12" x14ac:dyDescent="0.25">
      <c r="B270" s="740"/>
      <c r="C270" s="740"/>
      <c r="G270" s="730"/>
      <c r="L270" s="470"/>
    </row>
    <row r="271" spans="2:12" x14ac:dyDescent="0.25">
      <c r="B271" s="740"/>
      <c r="C271" s="740"/>
      <c r="G271" s="730"/>
      <c r="L271" s="470"/>
    </row>
    <row r="272" spans="2:12" x14ac:dyDescent="0.25">
      <c r="B272" s="740"/>
      <c r="C272" s="740"/>
      <c r="G272" s="730"/>
      <c r="L272" s="470"/>
    </row>
    <row r="273" spans="2:12" x14ac:dyDescent="0.25">
      <c r="B273" s="740"/>
      <c r="C273" s="740"/>
      <c r="G273" s="730"/>
      <c r="L273" s="470"/>
    </row>
    <row r="274" spans="2:12" x14ac:dyDescent="0.25">
      <c r="B274" s="740"/>
      <c r="C274" s="740"/>
      <c r="G274" s="730"/>
      <c r="L274" s="470"/>
    </row>
    <row r="275" spans="2:12" x14ac:dyDescent="0.25">
      <c r="B275" s="740"/>
      <c r="C275" s="740"/>
      <c r="G275" s="730"/>
      <c r="L275" s="470"/>
    </row>
    <row r="276" spans="2:12" x14ac:dyDescent="0.25">
      <c r="B276" s="740"/>
      <c r="C276" s="740"/>
      <c r="G276" s="730"/>
      <c r="L276" s="470"/>
    </row>
    <row r="277" spans="2:12" x14ac:dyDescent="0.25">
      <c r="B277" s="740"/>
      <c r="C277" s="740"/>
      <c r="G277" s="730"/>
      <c r="L277" s="470"/>
    </row>
    <row r="278" spans="2:12" x14ac:dyDescent="0.25">
      <c r="B278" s="740"/>
      <c r="C278" s="740"/>
      <c r="G278" s="730"/>
      <c r="L278" s="470"/>
    </row>
    <row r="279" spans="2:12" x14ac:dyDescent="0.25">
      <c r="B279" s="740"/>
      <c r="C279" s="740"/>
      <c r="G279" s="730"/>
      <c r="L279" s="470"/>
    </row>
    <row r="280" spans="2:12" x14ac:dyDescent="0.25">
      <c r="B280" s="740"/>
      <c r="C280" s="740"/>
      <c r="G280" s="730"/>
      <c r="L280" s="470"/>
    </row>
    <row r="281" spans="2:12" x14ac:dyDescent="0.25">
      <c r="B281" s="740"/>
      <c r="C281" s="740"/>
      <c r="G281" s="730"/>
      <c r="L281" s="470"/>
    </row>
    <row r="282" spans="2:12" x14ac:dyDescent="0.25">
      <c r="B282" s="740"/>
      <c r="C282" s="740"/>
      <c r="G282" s="730"/>
      <c r="L282" s="470"/>
    </row>
    <row r="283" spans="2:12" x14ac:dyDescent="0.25">
      <c r="B283" s="740"/>
      <c r="C283" s="740"/>
      <c r="G283" s="730"/>
      <c r="L283" s="470"/>
    </row>
    <row r="284" spans="2:12" x14ac:dyDescent="0.25">
      <c r="B284" s="740"/>
      <c r="C284" s="740"/>
      <c r="G284" s="730"/>
      <c r="L284" s="470"/>
    </row>
    <row r="285" spans="2:12" x14ac:dyDescent="0.25">
      <c r="B285" s="740"/>
      <c r="C285" s="740"/>
      <c r="G285" s="730"/>
      <c r="L285" s="470"/>
    </row>
    <row r="286" spans="2:12" x14ac:dyDescent="0.25">
      <c r="B286" s="740"/>
      <c r="C286" s="740"/>
      <c r="G286" s="730"/>
      <c r="L286" s="470"/>
    </row>
    <row r="287" spans="2:12" x14ac:dyDescent="0.25">
      <c r="B287" s="740"/>
      <c r="C287" s="740"/>
      <c r="G287" s="730"/>
      <c r="L287" s="470"/>
    </row>
    <row r="288" spans="2:12" x14ac:dyDescent="0.25">
      <c r="B288" s="740"/>
      <c r="C288" s="740"/>
      <c r="G288" s="730"/>
      <c r="L288" s="470"/>
    </row>
    <row r="289" spans="2:12" x14ac:dyDescent="0.25">
      <c r="B289" s="740"/>
      <c r="C289" s="740"/>
      <c r="G289" s="730"/>
      <c r="L289" s="470"/>
    </row>
    <row r="290" spans="2:12" x14ac:dyDescent="0.25">
      <c r="B290" s="740"/>
      <c r="C290" s="740"/>
      <c r="G290" s="730"/>
      <c r="L290" s="470"/>
    </row>
    <row r="291" spans="2:12" x14ac:dyDescent="0.25">
      <c r="B291" s="740"/>
      <c r="C291" s="740"/>
      <c r="G291" s="730"/>
      <c r="L291" s="470"/>
    </row>
    <row r="292" spans="2:12" x14ac:dyDescent="0.25">
      <c r="B292" s="740"/>
      <c r="C292" s="740"/>
      <c r="G292" s="730"/>
      <c r="L292" s="470"/>
    </row>
    <row r="293" spans="2:12" x14ac:dyDescent="0.25">
      <c r="B293" s="740"/>
      <c r="C293" s="740"/>
      <c r="G293" s="730"/>
      <c r="L293" s="470"/>
    </row>
    <row r="294" spans="2:12" x14ac:dyDescent="0.25">
      <c r="B294" s="740"/>
      <c r="C294" s="740"/>
      <c r="G294" s="730"/>
      <c r="L294" s="470"/>
    </row>
    <row r="295" spans="2:12" x14ac:dyDescent="0.25">
      <c r="B295" s="740"/>
      <c r="C295" s="740"/>
      <c r="G295" s="730"/>
      <c r="L295" s="470"/>
    </row>
    <row r="296" spans="2:12" x14ac:dyDescent="0.25">
      <c r="B296" s="740"/>
      <c r="C296" s="740"/>
      <c r="G296" s="730"/>
      <c r="L296" s="470"/>
    </row>
    <row r="297" spans="2:12" x14ac:dyDescent="0.25">
      <c r="B297" s="740"/>
      <c r="C297" s="740"/>
      <c r="G297" s="730"/>
      <c r="L297" s="470"/>
    </row>
    <row r="298" spans="2:12" x14ac:dyDescent="0.25">
      <c r="B298" s="740"/>
      <c r="C298" s="740"/>
      <c r="G298" s="730"/>
      <c r="L298" s="470"/>
    </row>
    <row r="299" spans="2:12" x14ac:dyDescent="0.25">
      <c r="B299" s="740"/>
      <c r="C299" s="740"/>
      <c r="G299" s="730"/>
      <c r="L299" s="470"/>
    </row>
    <row r="300" spans="2:12" x14ac:dyDescent="0.25">
      <c r="B300" s="740"/>
      <c r="C300" s="740"/>
      <c r="G300" s="730"/>
      <c r="L300" s="470"/>
    </row>
    <row r="301" spans="2:12" x14ac:dyDescent="0.25">
      <c r="B301" s="740"/>
      <c r="C301" s="740"/>
      <c r="G301" s="730"/>
      <c r="L301" s="470"/>
    </row>
    <row r="302" spans="2:12" x14ac:dyDescent="0.25">
      <c r="B302" s="740"/>
      <c r="C302" s="740"/>
      <c r="G302" s="730"/>
      <c r="L302" s="470"/>
    </row>
    <row r="303" spans="2:12" x14ac:dyDescent="0.25">
      <c r="B303" s="740"/>
      <c r="C303" s="740"/>
      <c r="G303" s="730"/>
      <c r="L303" s="470"/>
    </row>
    <row r="304" spans="2:12" x14ac:dyDescent="0.25">
      <c r="B304" s="740"/>
      <c r="C304" s="740"/>
      <c r="G304" s="730"/>
      <c r="L304" s="470"/>
    </row>
    <row r="305" spans="2:12" x14ac:dyDescent="0.25">
      <c r="B305" s="740"/>
      <c r="C305" s="740"/>
      <c r="G305" s="730"/>
      <c r="L305" s="470"/>
    </row>
    <row r="306" spans="2:12" x14ac:dyDescent="0.25">
      <c r="B306" s="740"/>
      <c r="C306" s="740"/>
      <c r="G306" s="730"/>
      <c r="L306" s="470"/>
    </row>
    <row r="307" spans="2:12" x14ac:dyDescent="0.25">
      <c r="B307" s="740"/>
      <c r="C307" s="740"/>
      <c r="G307" s="730"/>
      <c r="L307" s="470"/>
    </row>
    <row r="308" spans="2:12" x14ac:dyDescent="0.25">
      <c r="B308" s="740"/>
      <c r="C308" s="740"/>
      <c r="G308" s="730"/>
      <c r="L308" s="470"/>
    </row>
    <row r="309" spans="2:12" x14ac:dyDescent="0.25">
      <c r="B309" s="740"/>
      <c r="C309" s="740"/>
      <c r="G309" s="730"/>
      <c r="L309" s="470"/>
    </row>
    <row r="310" spans="2:12" x14ac:dyDescent="0.25">
      <c r="B310" s="740"/>
      <c r="C310" s="740"/>
      <c r="G310" s="730"/>
      <c r="L310" s="470"/>
    </row>
    <row r="311" spans="2:12" x14ac:dyDescent="0.25">
      <c r="B311" s="740"/>
      <c r="C311" s="740"/>
      <c r="G311" s="730"/>
      <c r="L311" s="470"/>
    </row>
    <row r="312" spans="2:12" x14ac:dyDescent="0.25">
      <c r="B312" s="740"/>
      <c r="C312" s="740"/>
      <c r="G312" s="730"/>
      <c r="L312" s="470"/>
    </row>
    <row r="313" spans="2:12" x14ac:dyDescent="0.25">
      <c r="B313" s="740"/>
      <c r="C313" s="740"/>
      <c r="G313" s="730"/>
      <c r="L313" s="470"/>
    </row>
    <row r="314" spans="2:12" x14ac:dyDescent="0.25">
      <c r="B314" s="740"/>
      <c r="C314" s="740"/>
      <c r="G314" s="730"/>
      <c r="L314" s="470"/>
    </row>
    <row r="315" spans="2:12" x14ac:dyDescent="0.25">
      <c r="B315" s="740"/>
      <c r="C315" s="740"/>
      <c r="G315" s="730"/>
      <c r="L315" s="470"/>
    </row>
    <row r="316" spans="2:12" x14ac:dyDescent="0.25">
      <c r="B316" s="740"/>
      <c r="C316" s="740"/>
      <c r="G316" s="730"/>
      <c r="L316" s="470"/>
    </row>
    <row r="317" spans="2:12" x14ac:dyDescent="0.25">
      <c r="B317" s="740"/>
      <c r="C317" s="740"/>
      <c r="G317" s="730"/>
      <c r="L317" s="470"/>
    </row>
    <row r="318" spans="2:12" x14ac:dyDescent="0.25">
      <c r="B318" s="740"/>
      <c r="C318" s="740"/>
      <c r="G318" s="730"/>
      <c r="L318" s="470"/>
    </row>
    <row r="319" spans="2:12" x14ac:dyDescent="0.25">
      <c r="B319" s="740"/>
      <c r="C319" s="740"/>
      <c r="G319" s="730"/>
      <c r="L319" s="470"/>
    </row>
    <row r="320" spans="2:12" x14ac:dyDescent="0.25">
      <c r="B320" s="740"/>
      <c r="C320" s="740"/>
      <c r="G320" s="730"/>
      <c r="L320" s="470"/>
    </row>
    <row r="321" spans="2:12" x14ac:dyDescent="0.25">
      <c r="B321" s="740"/>
      <c r="C321" s="740"/>
      <c r="G321" s="730"/>
      <c r="L321" s="470"/>
    </row>
    <row r="322" spans="2:12" x14ac:dyDescent="0.25">
      <c r="B322" s="740"/>
      <c r="C322" s="740"/>
      <c r="G322" s="730"/>
      <c r="L322" s="470"/>
    </row>
    <row r="323" spans="2:12" x14ac:dyDescent="0.25">
      <c r="B323" s="740"/>
      <c r="C323" s="740"/>
      <c r="G323" s="730"/>
      <c r="L323" s="470"/>
    </row>
    <row r="324" spans="2:12" x14ac:dyDescent="0.25">
      <c r="B324" s="740"/>
      <c r="C324" s="740"/>
      <c r="G324" s="730"/>
      <c r="L324" s="470"/>
    </row>
    <row r="325" spans="2:12" x14ac:dyDescent="0.25">
      <c r="B325" s="740"/>
      <c r="C325" s="740"/>
      <c r="G325" s="730"/>
      <c r="L325" s="470"/>
    </row>
    <row r="326" spans="2:12" x14ac:dyDescent="0.25">
      <c r="B326" s="740"/>
      <c r="C326" s="740"/>
      <c r="G326" s="730"/>
      <c r="L326" s="470"/>
    </row>
    <row r="327" spans="2:12" x14ac:dyDescent="0.25">
      <c r="B327" s="740"/>
      <c r="C327" s="740"/>
      <c r="G327" s="730"/>
      <c r="L327" s="470"/>
    </row>
    <row r="328" spans="2:12" x14ac:dyDescent="0.25">
      <c r="B328" s="740"/>
      <c r="C328" s="740"/>
      <c r="G328" s="730"/>
      <c r="L328" s="470"/>
    </row>
    <row r="329" spans="2:12" x14ac:dyDescent="0.25">
      <c r="B329" s="740"/>
      <c r="C329" s="740"/>
      <c r="G329" s="730"/>
      <c r="L329" s="470"/>
    </row>
    <row r="330" spans="2:12" x14ac:dyDescent="0.25">
      <c r="B330" s="740"/>
      <c r="C330" s="740"/>
      <c r="G330" s="730"/>
      <c r="L330" s="470"/>
    </row>
    <row r="331" spans="2:12" x14ac:dyDescent="0.25">
      <c r="B331" s="740"/>
      <c r="C331" s="740"/>
      <c r="G331" s="730"/>
      <c r="L331" s="470"/>
    </row>
    <row r="332" spans="2:12" x14ac:dyDescent="0.25">
      <c r="B332" s="740"/>
      <c r="C332" s="740"/>
      <c r="G332" s="730"/>
      <c r="L332" s="470"/>
    </row>
    <row r="333" spans="2:12" x14ac:dyDescent="0.25">
      <c r="B333" s="740"/>
      <c r="C333" s="740"/>
      <c r="G333" s="730"/>
      <c r="L333" s="470"/>
    </row>
    <row r="334" spans="2:12" x14ac:dyDescent="0.25">
      <c r="B334" s="740"/>
      <c r="C334" s="740"/>
      <c r="G334" s="730"/>
      <c r="L334" s="470"/>
    </row>
    <row r="335" spans="2:12" x14ac:dyDescent="0.25">
      <c r="B335" s="740"/>
      <c r="C335" s="740"/>
      <c r="G335" s="730"/>
      <c r="L335" s="470"/>
    </row>
    <row r="336" spans="2:12" x14ac:dyDescent="0.25">
      <c r="B336" s="740"/>
      <c r="C336" s="740"/>
      <c r="G336" s="730"/>
      <c r="L336" s="470"/>
    </row>
    <row r="337" spans="2:12" x14ac:dyDescent="0.25">
      <c r="B337" s="740"/>
      <c r="C337" s="740"/>
      <c r="G337" s="730"/>
      <c r="L337" s="470"/>
    </row>
    <row r="338" spans="2:12" x14ac:dyDescent="0.25">
      <c r="B338" s="740"/>
      <c r="C338" s="740"/>
      <c r="G338" s="730"/>
      <c r="L338" s="470"/>
    </row>
    <row r="339" spans="2:12" x14ac:dyDescent="0.25">
      <c r="B339" s="740"/>
      <c r="C339" s="740"/>
      <c r="G339" s="730"/>
      <c r="L339" s="470"/>
    </row>
    <row r="340" spans="2:12" x14ac:dyDescent="0.25">
      <c r="B340" s="740"/>
      <c r="C340" s="740"/>
      <c r="G340" s="730"/>
      <c r="L340" s="470"/>
    </row>
    <row r="341" spans="2:12" x14ac:dyDescent="0.25">
      <c r="B341" s="740"/>
      <c r="C341" s="740"/>
      <c r="G341" s="730"/>
      <c r="L341" s="470"/>
    </row>
    <row r="342" spans="2:12" x14ac:dyDescent="0.25">
      <c r="B342" s="740"/>
      <c r="C342" s="740"/>
      <c r="G342" s="730"/>
      <c r="L342" s="470"/>
    </row>
    <row r="343" spans="2:12" x14ac:dyDescent="0.25">
      <c r="B343" s="740"/>
      <c r="C343" s="740"/>
      <c r="G343" s="730"/>
      <c r="L343" s="470"/>
    </row>
    <row r="344" spans="2:12" x14ac:dyDescent="0.25">
      <c r="B344" s="740"/>
      <c r="C344" s="740"/>
      <c r="G344" s="730"/>
      <c r="L344" s="470"/>
    </row>
    <row r="345" spans="2:12" x14ac:dyDescent="0.25">
      <c r="B345" s="740"/>
      <c r="C345" s="740"/>
      <c r="G345" s="730"/>
      <c r="L345" s="470"/>
    </row>
    <row r="346" spans="2:12" x14ac:dyDescent="0.25">
      <c r="B346" s="740"/>
      <c r="C346" s="740"/>
      <c r="G346" s="730"/>
      <c r="L346" s="470"/>
    </row>
    <row r="347" spans="2:12" x14ac:dyDescent="0.25">
      <c r="B347" s="740"/>
      <c r="C347" s="740"/>
      <c r="G347" s="730"/>
      <c r="L347" s="470"/>
    </row>
    <row r="348" spans="2:12" x14ac:dyDescent="0.25">
      <c r="B348" s="740"/>
      <c r="C348" s="740"/>
      <c r="G348" s="730"/>
      <c r="L348" s="470"/>
    </row>
    <row r="349" spans="2:12" x14ac:dyDescent="0.25">
      <c r="B349" s="740"/>
      <c r="C349" s="740"/>
      <c r="G349" s="730"/>
      <c r="L349" s="470"/>
    </row>
    <row r="350" spans="2:12" x14ac:dyDescent="0.25">
      <c r="B350" s="740"/>
      <c r="C350" s="740"/>
      <c r="G350" s="730"/>
      <c r="L350" s="470"/>
    </row>
    <row r="351" spans="2:12" x14ac:dyDescent="0.25">
      <c r="B351" s="740"/>
      <c r="C351" s="740"/>
      <c r="G351" s="730"/>
      <c r="L351" s="470"/>
    </row>
    <row r="352" spans="2:12" x14ac:dyDescent="0.25">
      <c r="B352" s="740"/>
      <c r="C352" s="740"/>
      <c r="G352" s="730"/>
      <c r="L352" s="470"/>
    </row>
    <row r="353" spans="2:12" x14ac:dyDescent="0.25">
      <c r="B353" s="740"/>
      <c r="C353" s="740"/>
      <c r="G353" s="730"/>
      <c r="L353" s="470"/>
    </row>
    <row r="354" spans="2:12" x14ac:dyDescent="0.25">
      <c r="B354" s="740"/>
      <c r="C354" s="740"/>
      <c r="G354" s="730"/>
      <c r="L354" s="470"/>
    </row>
    <row r="355" spans="2:12" x14ac:dyDescent="0.25">
      <c r="B355" s="740"/>
      <c r="C355" s="740"/>
      <c r="G355" s="730"/>
      <c r="L355" s="470"/>
    </row>
    <row r="356" spans="2:12" x14ac:dyDescent="0.25">
      <c r="B356" s="740"/>
      <c r="C356" s="740"/>
      <c r="G356" s="730"/>
      <c r="L356" s="470"/>
    </row>
    <row r="357" spans="2:12" x14ac:dyDescent="0.25">
      <c r="B357" s="740"/>
      <c r="C357" s="740"/>
      <c r="G357" s="730"/>
      <c r="L357" s="470"/>
    </row>
    <row r="358" spans="2:12" x14ac:dyDescent="0.25">
      <c r="B358" s="740"/>
      <c r="C358" s="740"/>
      <c r="G358" s="730"/>
      <c r="L358" s="470"/>
    </row>
    <row r="359" spans="2:12" x14ac:dyDescent="0.25">
      <c r="B359" s="740"/>
      <c r="C359" s="740"/>
      <c r="G359" s="730"/>
      <c r="L359" s="470"/>
    </row>
    <row r="360" spans="2:12" x14ac:dyDescent="0.25">
      <c r="B360" s="740"/>
      <c r="C360" s="740"/>
      <c r="G360" s="730"/>
      <c r="L360" s="470"/>
    </row>
    <row r="361" spans="2:12" x14ac:dyDescent="0.25">
      <c r="B361" s="740"/>
      <c r="C361" s="740"/>
      <c r="G361" s="730"/>
      <c r="L361" s="470"/>
    </row>
    <row r="362" spans="2:12" x14ac:dyDescent="0.25">
      <c r="B362" s="740"/>
      <c r="C362" s="740"/>
      <c r="G362" s="730"/>
      <c r="L362" s="470"/>
    </row>
    <row r="363" spans="2:12" x14ac:dyDescent="0.25">
      <c r="B363" s="740"/>
      <c r="C363" s="740"/>
      <c r="G363" s="730"/>
      <c r="L363" s="470"/>
    </row>
    <row r="364" spans="2:12" x14ac:dyDescent="0.25">
      <c r="B364" s="740"/>
      <c r="C364" s="740"/>
      <c r="G364" s="730"/>
      <c r="L364" s="470"/>
    </row>
    <row r="365" spans="2:12" x14ac:dyDescent="0.25">
      <c r="B365" s="740"/>
      <c r="C365" s="740"/>
      <c r="G365" s="730"/>
      <c r="L365" s="470"/>
    </row>
    <row r="366" spans="2:12" x14ac:dyDescent="0.25">
      <c r="B366" s="740"/>
      <c r="C366" s="740"/>
      <c r="G366" s="730"/>
      <c r="L366" s="470"/>
    </row>
    <row r="367" spans="2:12" x14ac:dyDescent="0.25">
      <c r="B367" s="740"/>
      <c r="C367" s="740"/>
      <c r="G367" s="730"/>
      <c r="L367" s="470"/>
    </row>
    <row r="368" spans="2:12" x14ac:dyDescent="0.25">
      <c r="B368" s="740"/>
      <c r="C368" s="740"/>
      <c r="G368" s="730"/>
      <c r="L368" s="470"/>
    </row>
    <row r="369" spans="2:12" x14ac:dyDescent="0.25">
      <c r="B369" s="740"/>
      <c r="C369" s="740"/>
      <c r="G369" s="730"/>
      <c r="L369" s="470"/>
    </row>
    <row r="370" spans="2:12" x14ac:dyDescent="0.25">
      <c r="B370" s="740"/>
      <c r="C370" s="740"/>
      <c r="G370" s="730"/>
      <c r="L370" s="470"/>
    </row>
    <row r="371" spans="2:12" x14ac:dyDescent="0.25">
      <c r="B371" s="740"/>
      <c r="C371" s="740"/>
      <c r="G371" s="730"/>
      <c r="L371" s="470"/>
    </row>
    <row r="372" spans="2:12" x14ac:dyDescent="0.25">
      <c r="B372" s="740"/>
      <c r="C372" s="740"/>
      <c r="G372" s="730"/>
      <c r="L372" s="470"/>
    </row>
    <row r="373" spans="2:12" x14ac:dyDescent="0.25">
      <c r="B373" s="740"/>
      <c r="C373" s="740"/>
      <c r="G373" s="730"/>
      <c r="L373" s="470"/>
    </row>
    <row r="374" spans="2:12" x14ac:dyDescent="0.25">
      <c r="B374" s="740"/>
      <c r="C374" s="740"/>
      <c r="G374" s="730"/>
      <c r="L374" s="470"/>
    </row>
    <row r="375" spans="2:12" x14ac:dyDescent="0.25">
      <c r="B375" s="740"/>
      <c r="C375" s="740"/>
      <c r="G375" s="730"/>
      <c r="L375" s="470"/>
    </row>
    <row r="376" spans="2:12" x14ac:dyDescent="0.25">
      <c r="B376" s="740"/>
      <c r="C376" s="740"/>
      <c r="G376" s="730"/>
      <c r="L376" s="470"/>
    </row>
    <row r="377" spans="2:12" x14ac:dyDescent="0.25">
      <c r="B377" s="740"/>
      <c r="C377" s="740"/>
      <c r="G377" s="730"/>
      <c r="L377" s="470"/>
    </row>
    <row r="378" spans="2:12" x14ac:dyDescent="0.25">
      <c r="B378" s="740"/>
      <c r="C378" s="740"/>
      <c r="G378" s="730"/>
      <c r="L378" s="470"/>
    </row>
    <row r="379" spans="2:12" x14ac:dyDescent="0.25">
      <c r="B379" s="740"/>
      <c r="C379" s="740"/>
      <c r="G379" s="730"/>
      <c r="L379" s="470"/>
    </row>
    <row r="380" spans="2:12" x14ac:dyDescent="0.25">
      <c r="B380" s="740"/>
      <c r="C380" s="740"/>
      <c r="G380" s="730"/>
      <c r="L380" s="470"/>
    </row>
    <row r="381" spans="2:12" x14ac:dyDescent="0.25">
      <c r="B381" s="740"/>
      <c r="C381" s="740"/>
      <c r="G381" s="730"/>
      <c r="L381" s="470"/>
    </row>
    <row r="382" spans="2:12" x14ac:dyDescent="0.25">
      <c r="B382" s="740"/>
      <c r="C382" s="740"/>
      <c r="G382" s="730"/>
      <c r="L382" s="470"/>
    </row>
    <row r="383" spans="2:12" x14ac:dyDescent="0.25">
      <c r="B383" s="740"/>
      <c r="C383" s="740"/>
      <c r="G383" s="730"/>
      <c r="L383" s="470"/>
    </row>
    <row r="384" spans="2:12" x14ac:dyDescent="0.25">
      <c r="B384" s="740"/>
      <c r="C384" s="740"/>
      <c r="G384" s="730"/>
      <c r="L384" s="470"/>
    </row>
    <row r="385" spans="2:12" x14ac:dyDescent="0.25">
      <c r="B385" s="740"/>
      <c r="C385" s="740"/>
      <c r="G385" s="730"/>
      <c r="L385" s="470"/>
    </row>
    <row r="386" spans="2:12" x14ac:dyDescent="0.25">
      <c r="B386" s="740"/>
      <c r="C386" s="740"/>
      <c r="G386" s="730"/>
      <c r="L386" s="470"/>
    </row>
    <row r="387" spans="2:12" x14ac:dyDescent="0.25">
      <c r="B387" s="740"/>
      <c r="C387" s="740"/>
      <c r="G387" s="730"/>
      <c r="L387" s="470"/>
    </row>
    <row r="388" spans="2:12" x14ac:dyDescent="0.25">
      <c r="B388" s="740"/>
      <c r="C388" s="740"/>
      <c r="G388" s="730"/>
      <c r="L388" s="470"/>
    </row>
    <row r="389" spans="2:12" x14ac:dyDescent="0.25">
      <c r="B389" s="740"/>
      <c r="C389" s="740"/>
      <c r="G389" s="730"/>
      <c r="L389" s="470"/>
    </row>
    <row r="390" spans="2:12" x14ac:dyDescent="0.25">
      <c r="B390" s="740"/>
      <c r="C390" s="740"/>
      <c r="G390" s="730"/>
      <c r="L390" s="470"/>
    </row>
    <row r="391" spans="2:12" x14ac:dyDescent="0.25">
      <c r="B391" s="740"/>
      <c r="C391" s="740"/>
      <c r="G391" s="730"/>
      <c r="L391" s="470"/>
    </row>
    <row r="392" spans="2:12" x14ac:dyDescent="0.25">
      <c r="B392" s="740"/>
      <c r="C392" s="740"/>
      <c r="G392" s="730"/>
      <c r="L392" s="470"/>
    </row>
    <row r="393" spans="2:12" x14ac:dyDescent="0.25">
      <c r="B393" s="740"/>
      <c r="C393" s="740"/>
      <c r="G393" s="730"/>
      <c r="L393" s="470"/>
    </row>
    <row r="394" spans="2:12" x14ac:dyDescent="0.25">
      <c r="B394" s="740"/>
      <c r="C394" s="740"/>
      <c r="G394" s="730"/>
      <c r="L394" s="470"/>
    </row>
    <row r="395" spans="2:12" x14ac:dyDescent="0.25">
      <c r="B395" s="740"/>
      <c r="C395" s="740"/>
      <c r="G395" s="730"/>
      <c r="L395" s="470"/>
    </row>
    <row r="396" spans="2:12" x14ac:dyDescent="0.25">
      <c r="B396" s="740"/>
      <c r="C396" s="740"/>
      <c r="G396" s="730"/>
      <c r="L396" s="470"/>
    </row>
    <row r="397" spans="2:12" x14ac:dyDescent="0.25">
      <c r="B397" s="740"/>
      <c r="C397" s="740"/>
      <c r="G397" s="730"/>
      <c r="L397" s="470"/>
    </row>
    <row r="398" spans="2:12" x14ac:dyDescent="0.25">
      <c r="B398" s="740"/>
      <c r="C398" s="740"/>
      <c r="G398" s="730"/>
      <c r="L398" s="470"/>
    </row>
    <row r="399" spans="2:12" x14ac:dyDescent="0.25">
      <c r="B399" s="740"/>
      <c r="C399" s="740"/>
      <c r="G399" s="730"/>
      <c r="L399" s="470"/>
    </row>
    <row r="400" spans="2:12" x14ac:dyDescent="0.25">
      <c r="B400" s="740"/>
      <c r="C400" s="740"/>
      <c r="G400" s="730"/>
      <c r="L400" s="470"/>
    </row>
    <row r="401" spans="2:12" x14ac:dyDescent="0.25">
      <c r="B401" s="740"/>
      <c r="C401" s="740"/>
      <c r="G401" s="730"/>
      <c r="L401" s="470"/>
    </row>
    <row r="402" spans="2:12" x14ac:dyDescent="0.25">
      <c r="B402" s="740"/>
      <c r="C402" s="740"/>
      <c r="G402" s="730"/>
      <c r="L402" s="470"/>
    </row>
    <row r="403" spans="2:12" x14ac:dyDescent="0.25">
      <c r="B403" s="740"/>
      <c r="C403" s="740"/>
      <c r="G403" s="730"/>
      <c r="L403" s="470"/>
    </row>
    <row r="404" spans="2:12" x14ac:dyDescent="0.25">
      <c r="B404" s="740"/>
      <c r="C404" s="740"/>
      <c r="G404" s="730"/>
      <c r="L404" s="470"/>
    </row>
    <row r="405" spans="2:12" x14ac:dyDescent="0.25">
      <c r="B405" s="740"/>
      <c r="C405" s="740"/>
      <c r="G405" s="730"/>
      <c r="L405" s="470"/>
    </row>
    <row r="406" spans="2:12" x14ac:dyDescent="0.25">
      <c r="B406" s="740"/>
      <c r="C406" s="740"/>
      <c r="G406" s="730"/>
      <c r="L406" s="470"/>
    </row>
    <row r="407" spans="2:12" x14ac:dyDescent="0.25">
      <c r="B407" s="740"/>
      <c r="C407" s="740"/>
      <c r="G407" s="730"/>
      <c r="L407" s="470"/>
    </row>
    <row r="408" spans="2:12" x14ac:dyDescent="0.25">
      <c r="B408" s="740"/>
      <c r="C408" s="740"/>
      <c r="G408" s="730"/>
      <c r="L408" s="470"/>
    </row>
    <row r="409" spans="2:12" x14ac:dyDescent="0.25">
      <c r="B409" s="740"/>
      <c r="C409" s="740"/>
      <c r="G409" s="730"/>
      <c r="L409" s="470"/>
    </row>
    <row r="410" spans="2:12" x14ac:dyDescent="0.25">
      <c r="B410" s="740"/>
      <c r="C410" s="740"/>
      <c r="G410" s="730"/>
      <c r="L410" s="470"/>
    </row>
    <row r="411" spans="2:12" x14ac:dyDescent="0.25">
      <c r="B411" s="740"/>
      <c r="C411" s="740"/>
      <c r="G411" s="730"/>
      <c r="L411" s="470"/>
    </row>
    <row r="412" spans="2:12" x14ac:dyDescent="0.25">
      <c r="B412" s="740"/>
      <c r="C412" s="740"/>
      <c r="G412" s="730"/>
      <c r="L412" s="470"/>
    </row>
    <row r="413" spans="2:12" x14ac:dyDescent="0.25">
      <c r="B413" s="740"/>
      <c r="C413" s="740"/>
      <c r="G413" s="730"/>
      <c r="L413" s="470"/>
    </row>
    <row r="414" spans="2:12" x14ac:dyDescent="0.25">
      <c r="B414" s="740"/>
      <c r="C414" s="740"/>
      <c r="G414" s="730"/>
      <c r="L414" s="470"/>
    </row>
    <row r="415" spans="2:12" x14ac:dyDescent="0.25">
      <c r="B415" s="740"/>
      <c r="C415" s="740"/>
      <c r="G415" s="730"/>
      <c r="L415" s="470"/>
    </row>
    <row r="416" spans="2:12" x14ac:dyDescent="0.25">
      <c r="B416" s="740"/>
      <c r="C416" s="740"/>
      <c r="G416" s="730"/>
      <c r="L416" s="470"/>
    </row>
    <row r="417" spans="2:12" x14ac:dyDescent="0.25">
      <c r="B417" s="740"/>
      <c r="C417" s="740"/>
      <c r="G417" s="730"/>
      <c r="L417" s="470"/>
    </row>
    <row r="418" spans="2:12" x14ac:dyDescent="0.25">
      <c r="B418" s="740"/>
      <c r="C418" s="740"/>
      <c r="G418" s="730"/>
      <c r="L418" s="470"/>
    </row>
    <row r="419" spans="2:12" x14ac:dyDescent="0.25">
      <c r="B419" s="740"/>
      <c r="C419" s="740"/>
      <c r="G419" s="730"/>
      <c r="L419" s="470"/>
    </row>
    <row r="420" spans="2:12" x14ac:dyDescent="0.25">
      <c r="B420" s="740"/>
      <c r="C420" s="740"/>
      <c r="G420" s="730"/>
      <c r="L420" s="470"/>
    </row>
    <row r="421" spans="2:12" x14ac:dyDescent="0.25">
      <c r="B421" s="740"/>
      <c r="C421" s="740"/>
      <c r="G421" s="730"/>
      <c r="L421" s="470"/>
    </row>
    <row r="422" spans="2:12" x14ac:dyDescent="0.25">
      <c r="B422" s="740"/>
      <c r="C422" s="740"/>
      <c r="G422" s="730"/>
      <c r="L422" s="470"/>
    </row>
    <row r="423" spans="2:12" x14ac:dyDescent="0.25">
      <c r="B423" s="740"/>
      <c r="C423" s="740"/>
      <c r="G423" s="730"/>
      <c r="L423" s="470"/>
    </row>
    <row r="424" spans="2:12" x14ac:dyDescent="0.25">
      <c r="B424" s="740"/>
      <c r="C424" s="740"/>
      <c r="G424" s="730"/>
      <c r="L424" s="470"/>
    </row>
    <row r="425" spans="2:12" x14ac:dyDescent="0.25">
      <c r="B425" s="740"/>
      <c r="C425" s="740"/>
      <c r="G425" s="730"/>
      <c r="L425" s="470"/>
    </row>
    <row r="426" spans="2:12" x14ac:dyDescent="0.25">
      <c r="B426" s="740"/>
      <c r="C426" s="740"/>
      <c r="G426" s="730"/>
      <c r="L426" s="470"/>
    </row>
    <row r="427" spans="2:12" x14ac:dyDescent="0.25">
      <c r="B427" s="740"/>
      <c r="C427" s="740"/>
      <c r="G427" s="730"/>
      <c r="L427" s="470"/>
    </row>
    <row r="428" spans="2:12" x14ac:dyDescent="0.25">
      <c r="B428" s="740"/>
      <c r="C428" s="740"/>
      <c r="G428" s="730"/>
      <c r="L428" s="470"/>
    </row>
    <row r="429" spans="2:12" x14ac:dyDescent="0.25">
      <c r="B429" s="740"/>
      <c r="C429" s="740"/>
      <c r="G429" s="730"/>
      <c r="L429" s="470"/>
    </row>
    <row r="430" spans="2:12" x14ac:dyDescent="0.25">
      <c r="B430" s="740"/>
      <c r="C430" s="740"/>
      <c r="G430" s="730"/>
      <c r="L430" s="470"/>
    </row>
    <row r="431" spans="2:12" x14ac:dyDescent="0.25">
      <c r="B431" s="740"/>
      <c r="C431" s="740"/>
      <c r="G431" s="730"/>
      <c r="L431" s="470"/>
    </row>
    <row r="432" spans="2:12" x14ac:dyDescent="0.25">
      <c r="B432" s="740"/>
      <c r="C432" s="740"/>
      <c r="G432" s="730"/>
      <c r="L432" s="470"/>
    </row>
    <row r="433" spans="2:12" x14ac:dyDescent="0.25">
      <c r="B433" s="740"/>
      <c r="C433" s="740"/>
      <c r="G433" s="730"/>
      <c r="L433" s="470"/>
    </row>
    <row r="434" spans="2:12" x14ac:dyDescent="0.25">
      <c r="B434" s="740"/>
      <c r="C434" s="740"/>
      <c r="G434" s="730"/>
      <c r="L434" s="470"/>
    </row>
    <row r="435" spans="2:12" x14ac:dyDescent="0.25">
      <c r="B435" s="740"/>
      <c r="C435" s="740"/>
      <c r="G435" s="730"/>
      <c r="L435" s="470"/>
    </row>
    <row r="436" spans="2:12" x14ac:dyDescent="0.25">
      <c r="B436" s="740"/>
      <c r="C436" s="740"/>
      <c r="G436" s="730"/>
      <c r="L436" s="470"/>
    </row>
    <row r="437" spans="2:12" x14ac:dyDescent="0.25">
      <c r="B437" s="740"/>
      <c r="C437" s="740"/>
      <c r="G437" s="730"/>
      <c r="L437" s="470"/>
    </row>
    <row r="438" spans="2:12" x14ac:dyDescent="0.25">
      <c r="B438" s="740"/>
      <c r="C438" s="740"/>
      <c r="G438" s="730"/>
      <c r="L438" s="470"/>
    </row>
    <row r="439" spans="2:12" x14ac:dyDescent="0.25">
      <c r="B439" s="740"/>
      <c r="C439" s="740"/>
      <c r="G439" s="730"/>
      <c r="L439" s="470"/>
    </row>
    <row r="440" spans="2:12" x14ac:dyDescent="0.25">
      <c r="B440" s="740"/>
      <c r="C440" s="740"/>
      <c r="G440" s="730"/>
      <c r="L440" s="470"/>
    </row>
    <row r="441" spans="2:12" x14ac:dyDescent="0.25">
      <c r="B441" s="740"/>
      <c r="C441" s="740"/>
      <c r="G441" s="730"/>
      <c r="L441" s="470"/>
    </row>
    <row r="442" spans="2:12" x14ac:dyDescent="0.25">
      <c r="B442" s="740"/>
      <c r="C442" s="740"/>
      <c r="G442" s="730"/>
      <c r="L442" s="470"/>
    </row>
    <row r="443" spans="2:12" x14ac:dyDescent="0.25">
      <c r="B443" s="740"/>
      <c r="C443" s="740"/>
      <c r="G443" s="730"/>
      <c r="L443" s="470"/>
    </row>
    <row r="444" spans="2:12" x14ac:dyDescent="0.25">
      <c r="B444" s="740"/>
      <c r="C444" s="740"/>
      <c r="G444" s="730"/>
      <c r="L444" s="470"/>
    </row>
    <row r="445" spans="2:12" x14ac:dyDescent="0.25">
      <c r="B445" s="740"/>
      <c r="C445" s="740"/>
      <c r="G445" s="730"/>
      <c r="L445" s="470"/>
    </row>
    <row r="446" spans="2:12" x14ac:dyDescent="0.25">
      <c r="B446" s="740"/>
      <c r="C446" s="740"/>
      <c r="G446" s="730"/>
      <c r="L446" s="470"/>
    </row>
    <row r="447" spans="2:12" x14ac:dyDescent="0.25">
      <c r="B447" s="740"/>
      <c r="C447" s="740"/>
      <c r="G447" s="730"/>
      <c r="L447" s="470"/>
    </row>
    <row r="448" spans="2:12" x14ac:dyDescent="0.25">
      <c r="B448" s="740"/>
      <c r="C448" s="740"/>
      <c r="G448" s="730"/>
      <c r="L448" s="470"/>
    </row>
    <row r="449" spans="2:12" x14ac:dyDescent="0.25">
      <c r="B449" s="740"/>
      <c r="C449" s="740"/>
      <c r="G449" s="730"/>
      <c r="L449" s="470"/>
    </row>
    <row r="450" spans="2:12" x14ac:dyDescent="0.25">
      <c r="B450" s="740"/>
      <c r="C450" s="740"/>
      <c r="G450" s="730"/>
      <c r="L450" s="470"/>
    </row>
    <row r="451" spans="2:12" x14ac:dyDescent="0.25">
      <c r="B451" s="740"/>
      <c r="C451" s="740"/>
      <c r="G451" s="730"/>
      <c r="L451" s="470"/>
    </row>
    <row r="452" spans="2:12" x14ac:dyDescent="0.25">
      <c r="B452" s="740"/>
      <c r="C452" s="740"/>
      <c r="G452" s="730"/>
      <c r="L452" s="470"/>
    </row>
    <row r="453" spans="2:12" x14ac:dyDescent="0.25">
      <c r="B453" s="740"/>
      <c r="C453" s="740"/>
      <c r="G453" s="730"/>
      <c r="L453" s="470"/>
    </row>
    <row r="454" spans="2:12" x14ac:dyDescent="0.25">
      <c r="B454" s="740"/>
      <c r="C454" s="740"/>
      <c r="G454" s="730"/>
      <c r="L454" s="470"/>
    </row>
    <row r="455" spans="2:12" x14ac:dyDescent="0.25">
      <c r="B455" s="740"/>
      <c r="C455" s="740"/>
      <c r="G455" s="730"/>
      <c r="L455" s="470"/>
    </row>
    <row r="456" spans="2:12" x14ac:dyDescent="0.25">
      <c r="B456" s="740"/>
      <c r="C456" s="740"/>
      <c r="G456" s="730"/>
      <c r="L456" s="470"/>
    </row>
    <row r="457" spans="2:12" x14ac:dyDescent="0.25">
      <c r="B457" s="740"/>
      <c r="C457" s="740"/>
      <c r="G457" s="730"/>
      <c r="L457" s="470"/>
    </row>
    <row r="458" spans="2:12" x14ac:dyDescent="0.25">
      <c r="B458" s="740"/>
      <c r="C458" s="740"/>
      <c r="G458" s="730"/>
      <c r="L458" s="470"/>
    </row>
    <row r="459" spans="2:12" x14ac:dyDescent="0.25">
      <c r="B459" s="740"/>
      <c r="C459" s="740"/>
      <c r="G459" s="730"/>
      <c r="L459" s="470"/>
    </row>
    <row r="460" spans="2:12" x14ac:dyDescent="0.25">
      <c r="B460" s="740"/>
      <c r="C460" s="740"/>
      <c r="G460" s="730"/>
      <c r="L460" s="470"/>
    </row>
    <row r="461" spans="2:12" x14ac:dyDescent="0.25">
      <c r="B461" s="740"/>
      <c r="C461" s="740"/>
      <c r="G461" s="730"/>
      <c r="L461" s="470"/>
    </row>
    <row r="462" spans="2:12" x14ac:dyDescent="0.25">
      <c r="B462" s="740"/>
      <c r="C462" s="740"/>
      <c r="G462" s="730"/>
      <c r="L462" s="470"/>
    </row>
    <row r="463" spans="2:12" x14ac:dyDescent="0.25">
      <c r="B463" s="740"/>
      <c r="C463" s="740"/>
      <c r="G463" s="730"/>
      <c r="L463" s="470"/>
    </row>
    <row r="464" spans="2:12" x14ac:dyDescent="0.25">
      <c r="B464" s="740"/>
      <c r="C464" s="740"/>
      <c r="G464" s="730"/>
      <c r="L464" s="470"/>
    </row>
    <row r="465" spans="2:12" x14ac:dyDescent="0.25">
      <c r="B465" s="740"/>
      <c r="C465" s="740"/>
      <c r="G465" s="730"/>
      <c r="L465" s="470"/>
    </row>
    <row r="466" spans="2:12" x14ac:dyDescent="0.25">
      <c r="B466" s="740"/>
      <c r="C466" s="740"/>
      <c r="G466" s="730"/>
      <c r="L466" s="470"/>
    </row>
    <row r="467" spans="2:12" x14ac:dyDescent="0.25">
      <c r="B467" s="740"/>
      <c r="C467" s="740"/>
      <c r="G467" s="730"/>
      <c r="L467" s="470"/>
    </row>
    <row r="468" spans="2:12" x14ac:dyDescent="0.25">
      <c r="B468" s="740"/>
      <c r="C468" s="740"/>
      <c r="G468" s="730"/>
      <c r="L468" s="470"/>
    </row>
    <row r="469" spans="2:12" x14ac:dyDescent="0.25">
      <c r="B469" s="740"/>
      <c r="C469" s="740"/>
      <c r="G469" s="730"/>
      <c r="L469" s="470"/>
    </row>
    <row r="470" spans="2:12" x14ac:dyDescent="0.25">
      <c r="B470" s="740"/>
      <c r="C470" s="740"/>
      <c r="G470" s="730"/>
      <c r="L470" s="470"/>
    </row>
    <row r="471" spans="2:12" x14ac:dyDescent="0.25">
      <c r="B471" s="740"/>
      <c r="C471" s="740"/>
      <c r="G471" s="730"/>
      <c r="L471" s="470"/>
    </row>
    <row r="472" spans="2:12" x14ac:dyDescent="0.25">
      <c r="B472" s="740"/>
      <c r="C472" s="740"/>
      <c r="G472" s="730"/>
      <c r="L472" s="470"/>
    </row>
    <row r="473" spans="2:12" x14ac:dyDescent="0.25">
      <c r="B473" s="740"/>
      <c r="C473" s="740"/>
      <c r="G473" s="730"/>
      <c r="L473" s="470"/>
    </row>
    <row r="474" spans="2:12" x14ac:dyDescent="0.25">
      <c r="B474" s="740"/>
      <c r="C474" s="740"/>
      <c r="G474" s="730"/>
      <c r="L474" s="470"/>
    </row>
    <row r="475" spans="2:12" x14ac:dyDescent="0.25">
      <c r="B475" s="740"/>
      <c r="C475" s="740"/>
      <c r="G475" s="730"/>
      <c r="L475" s="470"/>
    </row>
    <row r="476" spans="2:12" x14ac:dyDescent="0.25">
      <c r="B476" s="740"/>
      <c r="C476" s="740"/>
      <c r="G476" s="730"/>
      <c r="L476" s="470"/>
    </row>
    <row r="477" spans="2:12" x14ac:dyDescent="0.25">
      <c r="B477" s="740"/>
      <c r="C477" s="740"/>
      <c r="G477" s="730"/>
      <c r="L477" s="470"/>
    </row>
    <row r="478" spans="2:12" x14ac:dyDescent="0.25">
      <c r="B478" s="740"/>
      <c r="C478" s="740"/>
      <c r="G478" s="730"/>
      <c r="L478" s="470"/>
    </row>
    <row r="479" spans="2:12" x14ac:dyDescent="0.25">
      <c r="B479" s="740"/>
      <c r="C479" s="740"/>
      <c r="G479" s="730"/>
      <c r="L479" s="470"/>
    </row>
    <row r="480" spans="2:12" x14ac:dyDescent="0.25">
      <c r="B480" s="740"/>
      <c r="C480" s="740"/>
      <c r="G480" s="730"/>
      <c r="L480" s="470"/>
    </row>
    <row r="481" spans="2:12" x14ac:dyDescent="0.25">
      <c r="B481" s="740"/>
      <c r="C481" s="740"/>
      <c r="G481" s="730"/>
      <c r="L481" s="470"/>
    </row>
    <row r="482" spans="2:12" x14ac:dyDescent="0.25">
      <c r="B482" s="740"/>
      <c r="C482" s="740"/>
      <c r="G482" s="730"/>
      <c r="L482" s="470"/>
    </row>
    <row r="483" spans="2:12" x14ac:dyDescent="0.25">
      <c r="B483" s="740"/>
      <c r="C483" s="740"/>
      <c r="G483" s="730"/>
      <c r="L483" s="470"/>
    </row>
    <row r="484" spans="2:12" x14ac:dyDescent="0.25">
      <c r="B484" s="740"/>
      <c r="C484" s="740"/>
      <c r="G484" s="730"/>
      <c r="L484" s="470"/>
    </row>
    <row r="485" spans="2:12" x14ac:dyDescent="0.25">
      <c r="B485" s="740"/>
      <c r="C485" s="740"/>
      <c r="G485" s="730"/>
      <c r="L485" s="470"/>
    </row>
    <row r="486" spans="2:12" x14ac:dyDescent="0.25">
      <c r="B486" s="740"/>
      <c r="C486" s="740"/>
      <c r="G486" s="730"/>
      <c r="L486" s="470"/>
    </row>
    <row r="487" spans="2:12" x14ac:dyDescent="0.25">
      <c r="B487" s="740"/>
      <c r="C487" s="740"/>
      <c r="G487" s="730"/>
      <c r="L487" s="470"/>
    </row>
    <row r="488" spans="2:12" x14ac:dyDescent="0.25">
      <c r="B488" s="740"/>
      <c r="C488" s="740"/>
      <c r="G488" s="730"/>
      <c r="L488" s="470"/>
    </row>
    <row r="489" spans="2:12" x14ac:dyDescent="0.25">
      <c r="B489" s="740"/>
      <c r="C489" s="740"/>
      <c r="G489" s="730"/>
      <c r="L489" s="470"/>
    </row>
    <row r="490" spans="2:12" x14ac:dyDescent="0.25">
      <c r="B490" s="740"/>
      <c r="C490" s="740"/>
      <c r="G490" s="730"/>
      <c r="L490" s="470"/>
    </row>
    <row r="491" spans="2:12" x14ac:dyDescent="0.25">
      <c r="B491" s="740"/>
      <c r="C491" s="740"/>
      <c r="G491" s="730"/>
      <c r="L491" s="470"/>
    </row>
    <row r="492" spans="2:12" x14ac:dyDescent="0.25">
      <c r="B492" s="740"/>
      <c r="C492" s="740"/>
      <c r="G492" s="730"/>
      <c r="L492" s="470"/>
    </row>
    <row r="493" spans="2:12" x14ac:dyDescent="0.25">
      <c r="B493" s="740"/>
      <c r="C493" s="740"/>
      <c r="G493" s="730"/>
      <c r="L493" s="470"/>
    </row>
    <row r="494" spans="2:12" x14ac:dyDescent="0.25">
      <c r="B494" s="740"/>
      <c r="C494" s="740"/>
      <c r="G494" s="730"/>
      <c r="L494" s="470"/>
    </row>
    <row r="495" spans="2:12" x14ac:dyDescent="0.25">
      <c r="B495" s="740"/>
      <c r="C495" s="740"/>
      <c r="G495" s="730"/>
      <c r="L495" s="470"/>
    </row>
    <row r="496" spans="2:12" x14ac:dyDescent="0.25">
      <c r="B496" s="740"/>
      <c r="C496" s="740"/>
      <c r="G496" s="730"/>
      <c r="L496" s="470"/>
    </row>
    <row r="497" spans="2:12" x14ac:dyDescent="0.25">
      <c r="B497" s="740"/>
      <c r="C497" s="740"/>
      <c r="G497" s="730"/>
      <c r="L497" s="470"/>
    </row>
    <row r="498" spans="2:12" x14ac:dyDescent="0.25">
      <c r="B498" s="740"/>
      <c r="C498" s="740"/>
      <c r="G498" s="730"/>
      <c r="L498" s="470"/>
    </row>
    <row r="499" spans="2:12" x14ac:dyDescent="0.25">
      <c r="B499" s="740"/>
      <c r="C499" s="740"/>
      <c r="G499" s="730"/>
      <c r="L499" s="470"/>
    </row>
    <row r="500" spans="2:12" x14ac:dyDescent="0.25">
      <c r="B500" s="740"/>
      <c r="C500" s="740"/>
      <c r="G500" s="730"/>
      <c r="L500" s="470"/>
    </row>
    <row r="501" spans="2:12" x14ac:dyDescent="0.25">
      <c r="B501" s="740"/>
      <c r="C501" s="740"/>
      <c r="G501" s="730"/>
      <c r="L501" s="470"/>
    </row>
    <row r="502" spans="2:12" x14ac:dyDescent="0.25">
      <c r="B502" s="740"/>
      <c r="C502" s="740"/>
      <c r="G502" s="730"/>
      <c r="L502" s="470"/>
    </row>
    <row r="503" spans="2:12" x14ac:dyDescent="0.25">
      <c r="B503" s="740"/>
      <c r="C503" s="740"/>
      <c r="G503" s="730"/>
      <c r="L503" s="470"/>
    </row>
    <row r="504" spans="2:12" x14ac:dyDescent="0.25">
      <c r="B504" s="740"/>
      <c r="C504" s="740"/>
      <c r="G504" s="730"/>
      <c r="L504" s="470"/>
    </row>
    <row r="505" spans="2:12" x14ac:dyDescent="0.25">
      <c r="B505" s="740"/>
      <c r="C505" s="740"/>
      <c r="G505" s="730"/>
      <c r="L505" s="470"/>
    </row>
    <row r="506" spans="2:12" x14ac:dyDescent="0.25">
      <c r="B506" s="740"/>
      <c r="C506" s="740"/>
      <c r="G506" s="730"/>
      <c r="L506" s="470"/>
    </row>
    <row r="507" spans="2:12" x14ac:dyDescent="0.25">
      <c r="B507" s="740"/>
      <c r="C507" s="740"/>
      <c r="G507" s="730"/>
      <c r="L507" s="470"/>
    </row>
    <row r="508" spans="2:12" x14ac:dyDescent="0.25">
      <c r="B508" s="740"/>
      <c r="C508" s="740"/>
      <c r="G508" s="730"/>
      <c r="L508" s="470"/>
    </row>
    <row r="509" spans="2:12" x14ac:dyDescent="0.25">
      <c r="B509" s="740"/>
      <c r="C509" s="740"/>
      <c r="G509" s="730"/>
      <c r="L509" s="470"/>
    </row>
    <row r="510" spans="2:12" x14ac:dyDescent="0.25">
      <c r="B510" s="740"/>
      <c r="C510" s="740"/>
      <c r="G510" s="730"/>
      <c r="L510" s="470"/>
    </row>
    <row r="511" spans="2:12" x14ac:dyDescent="0.25">
      <c r="B511" s="740"/>
      <c r="C511" s="740"/>
      <c r="G511" s="730"/>
      <c r="L511" s="470"/>
    </row>
    <row r="512" spans="2:12" x14ac:dyDescent="0.25">
      <c r="B512" s="740"/>
      <c r="C512" s="740"/>
      <c r="G512" s="730"/>
      <c r="L512" s="470"/>
    </row>
    <row r="513" spans="2:12" x14ac:dyDescent="0.25">
      <c r="B513" s="740"/>
      <c r="C513" s="740"/>
      <c r="G513" s="730"/>
      <c r="L513" s="470"/>
    </row>
    <row r="514" spans="2:12" x14ac:dyDescent="0.25">
      <c r="B514" s="740"/>
      <c r="C514" s="740"/>
      <c r="G514" s="730"/>
      <c r="L514" s="470"/>
    </row>
    <row r="515" spans="2:12" x14ac:dyDescent="0.25">
      <c r="B515" s="740"/>
      <c r="C515" s="740"/>
      <c r="G515" s="730"/>
      <c r="L515" s="470"/>
    </row>
    <row r="516" spans="2:12" x14ac:dyDescent="0.25">
      <c r="B516" s="740"/>
      <c r="C516" s="740"/>
      <c r="G516" s="730"/>
      <c r="L516" s="470"/>
    </row>
    <row r="517" spans="2:12" x14ac:dyDescent="0.25">
      <c r="B517" s="740"/>
      <c r="C517" s="740"/>
      <c r="G517" s="730"/>
      <c r="L517" s="470"/>
    </row>
    <row r="518" spans="2:12" x14ac:dyDescent="0.25">
      <c r="B518" s="740"/>
      <c r="C518" s="740"/>
      <c r="G518" s="730"/>
      <c r="L518" s="470"/>
    </row>
    <row r="519" spans="2:12" x14ac:dyDescent="0.25">
      <c r="B519" s="740"/>
      <c r="C519" s="740"/>
      <c r="G519" s="730"/>
      <c r="L519" s="470"/>
    </row>
    <row r="520" spans="2:12" x14ac:dyDescent="0.25">
      <c r="B520" s="740"/>
      <c r="C520" s="740"/>
      <c r="G520" s="730"/>
      <c r="L520" s="470"/>
    </row>
    <row r="521" spans="2:12" x14ac:dyDescent="0.25">
      <c r="B521" s="740"/>
      <c r="C521" s="740"/>
      <c r="G521" s="730"/>
      <c r="L521" s="470"/>
    </row>
    <row r="522" spans="2:12" x14ac:dyDescent="0.25">
      <c r="B522" s="740"/>
      <c r="C522" s="740"/>
      <c r="G522" s="730"/>
      <c r="L522" s="470"/>
    </row>
    <row r="523" spans="2:12" x14ac:dyDescent="0.25">
      <c r="B523" s="740"/>
      <c r="C523" s="740"/>
      <c r="G523" s="730"/>
      <c r="L523" s="470"/>
    </row>
    <row r="524" spans="2:12" x14ac:dyDescent="0.25">
      <c r="B524" s="740"/>
      <c r="C524" s="740"/>
      <c r="G524" s="730"/>
      <c r="L524" s="470"/>
    </row>
    <row r="525" spans="2:12" x14ac:dyDescent="0.25">
      <c r="B525" s="740"/>
      <c r="C525" s="740"/>
      <c r="G525" s="730"/>
      <c r="L525" s="470"/>
    </row>
    <row r="526" spans="2:12" x14ac:dyDescent="0.25">
      <c r="B526" s="740"/>
      <c r="C526" s="740"/>
      <c r="G526" s="730"/>
      <c r="L526" s="470"/>
    </row>
    <row r="527" spans="2:12" x14ac:dyDescent="0.25">
      <c r="B527" s="740"/>
      <c r="C527" s="740"/>
      <c r="G527" s="730"/>
      <c r="L527" s="470"/>
    </row>
    <row r="528" spans="2:12" x14ac:dyDescent="0.25">
      <c r="B528" s="740"/>
      <c r="C528" s="740"/>
      <c r="G528" s="730"/>
      <c r="L528" s="470"/>
    </row>
    <row r="529" spans="2:12" x14ac:dyDescent="0.25">
      <c r="B529" s="740"/>
      <c r="C529" s="740"/>
      <c r="G529" s="730"/>
      <c r="L529" s="470"/>
    </row>
    <row r="530" spans="2:12" x14ac:dyDescent="0.25">
      <c r="B530" s="740"/>
      <c r="C530" s="740"/>
      <c r="G530" s="730"/>
      <c r="L530" s="470"/>
    </row>
    <row r="531" spans="2:12" x14ac:dyDescent="0.25">
      <c r="B531" s="740"/>
      <c r="C531" s="740"/>
      <c r="G531" s="730"/>
      <c r="L531" s="470"/>
    </row>
    <row r="532" spans="2:12" x14ac:dyDescent="0.25">
      <c r="B532" s="740"/>
      <c r="C532" s="740"/>
      <c r="G532" s="730"/>
      <c r="L532" s="470"/>
    </row>
    <row r="533" spans="2:12" x14ac:dyDescent="0.25">
      <c r="B533" s="740"/>
      <c r="C533" s="740"/>
      <c r="G533" s="730"/>
      <c r="L533" s="470"/>
    </row>
    <row r="534" spans="2:12" x14ac:dyDescent="0.25">
      <c r="B534" s="740"/>
      <c r="C534" s="740"/>
      <c r="G534" s="730"/>
      <c r="L534" s="470"/>
    </row>
    <row r="535" spans="2:12" x14ac:dyDescent="0.25">
      <c r="B535" s="740"/>
      <c r="C535" s="740"/>
      <c r="G535" s="730"/>
      <c r="L535" s="470"/>
    </row>
    <row r="536" spans="2:12" x14ac:dyDescent="0.25">
      <c r="B536" s="740"/>
      <c r="C536" s="740"/>
      <c r="G536" s="730"/>
      <c r="L536" s="470"/>
    </row>
    <row r="537" spans="2:12" x14ac:dyDescent="0.25">
      <c r="B537" s="740"/>
      <c r="C537" s="740"/>
      <c r="G537" s="730"/>
      <c r="L537" s="470"/>
    </row>
    <row r="538" spans="2:12" x14ac:dyDescent="0.25">
      <c r="B538" s="740"/>
      <c r="C538" s="740"/>
      <c r="G538" s="730"/>
      <c r="L538" s="470"/>
    </row>
    <row r="539" spans="2:12" x14ac:dyDescent="0.25">
      <c r="B539" s="740"/>
      <c r="C539" s="740"/>
      <c r="G539" s="730"/>
      <c r="L539" s="470"/>
    </row>
    <row r="540" spans="2:12" x14ac:dyDescent="0.25">
      <c r="B540" s="740"/>
      <c r="C540" s="740"/>
      <c r="G540" s="730"/>
      <c r="L540" s="470"/>
    </row>
    <row r="541" spans="2:12" x14ac:dyDescent="0.25">
      <c r="B541" s="740"/>
      <c r="C541" s="740"/>
      <c r="G541" s="730"/>
      <c r="L541" s="470"/>
    </row>
    <row r="542" spans="2:12" x14ac:dyDescent="0.25">
      <c r="B542" s="740"/>
      <c r="C542" s="740"/>
      <c r="G542" s="730"/>
      <c r="L542" s="470"/>
    </row>
    <row r="543" spans="2:12" x14ac:dyDescent="0.25">
      <c r="B543" s="740"/>
      <c r="C543" s="740"/>
      <c r="G543" s="730"/>
      <c r="L543" s="470"/>
    </row>
    <row r="544" spans="2:12" x14ac:dyDescent="0.25">
      <c r="B544" s="740"/>
      <c r="C544" s="740"/>
      <c r="G544" s="730"/>
      <c r="L544" s="470"/>
    </row>
    <row r="545" spans="2:12" x14ac:dyDescent="0.25">
      <c r="B545" s="740"/>
      <c r="C545" s="740"/>
      <c r="G545" s="730"/>
      <c r="L545" s="470"/>
    </row>
    <row r="546" spans="2:12" x14ac:dyDescent="0.25">
      <c r="B546" s="740"/>
      <c r="C546" s="740"/>
      <c r="G546" s="730"/>
      <c r="L546" s="470"/>
    </row>
    <row r="547" spans="2:12" x14ac:dyDescent="0.25">
      <c r="B547" s="740"/>
      <c r="C547" s="740"/>
      <c r="G547" s="730"/>
      <c r="L547" s="470"/>
    </row>
    <row r="548" spans="2:12" x14ac:dyDescent="0.25">
      <c r="B548" s="740"/>
      <c r="C548" s="740"/>
      <c r="G548" s="730"/>
      <c r="L548" s="470"/>
    </row>
    <row r="549" spans="2:12" x14ac:dyDescent="0.25">
      <c r="B549" s="740"/>
      <c r="C549" s="740"/>
      <c r="G549" s="730"/>
      <c r="L549" s="470"/>
    </row>
    <row r="550" spans="2:12" x14ac:dyDescent="0.25">
      <c r="B550" s="740"/>
      <c r="C550" s="740"/>
      <c r="G550" s="730"/>
      <c r="L550" s="470"/>
    </row>
    <row r="551" spans="2:12" x14ac:dyDescent="0.25">
      <c r="B551" s="740"/>
      <c r="C551" s="740"/>
      <c r="G551" s="730"/>
      <c r="L551" s="470"/>
    </row>
    <row r="552" spans="2:12" x14ac:dyDescent="0.25">
      <c r="B552" s="740"/>
      <c r="C552" s="740"/>
      <c r="G552" s="730"/>
      <c r="L552" s="470"/>
    </row>
    <row r="553" spans="2:12" x14ac:dyDescent="0.25">
      <c r="B553" s="740"/>
      <c r="C553" s="740"/>
      <c r="G553" s="730"/>
      <c r="L553" s="470"/>
    </row>
    <row r="554" spans="2:12" x14ac:dyDescent="0.25">
      <c r="B554" s="740"/>
      <c r="C554" s="740"/>
      <c r="G554" s="730"/>
      <c r="L554" s="470"/>
    </row>
    <row r="555" spans="2:12" x14ac:dyDescent="0.25">
      <c r="B555" s="740"/>
      <c r="C555" s="740"/>
      <c r="G555" s="730"/>
      <c r="L555" s="470"/>
    </row>
    <row r="556" spans="2:12" x14ac:dyDescent="0.25">
      <c r="B556" s="740"/>
      <c r="C556" s="740"/>
      <c r="G556" s="730"/>
      <c r="L556" s="470"/>
    </row>
    <row r="557" spans="2:12" x14ac:dyDescent="0.25">
      <c r="B557" s="740"/>
      <c r="C557" s="740"/>
      <c r="G557" s="730"/>
      <c r="L557" s="470"/>
    </row>
    <row r="558" spans="2:12" x14ac:dyDescent="0.25">
      <c r="B558" s="740"/>
      <c r="C558" s="740"/>
      <c r="G558" s="730"/>
      <c r="L558" s="470"/>
    </row>
    <row r="559" spans="2:12" x14ac:dyDescent="0.25">
      <c r="B559" s="740"/>
      <c r="C559" s="740"/>
      <c r="G559" s="730"/>
      <c r="L559" s="470"/>
    </row>
    <row r="560" spans="2:12" x14ac:dyDescent="0.25">
      <c r="B560" s="740"/>
      <c r="C560" s="740"/>
      <c r="G560" s="730"/>
      <c r="L560" s="470"/>
    </row>
    <row r="561" spans="2:12" x14ac:dyDescent="0.25">
      <c r="B561" s="740"/>
      <c r="C561" s="740"/>
      <c r="G561" s="730"/>
      <c r="L561" s="470"/>
    </row>
    <row r="562" spans="2:12" x14ac:dyDescent="0.25">
      <c r="B562" s="740"/>
      <c r="C562" s="740"/>
      <c r="G562" s="730"/>
      <c r="L562" s="470"/>
    </row>
    <row r="563" spans="2:12" x14ac:dyDescent="0.25">
      <c r="B563" s="740"/>
      <c r="C563" s="740"/>
      <c r="G563" s="730"/>
      <c r="L563" s="470"/>
    </row>
    <row r="564" spans="2:12" x14ac:dyDescent="0.25">
      <c r="B564" s="740"/>
      <c r="C564" s="740"/>
      <c r="G564" s="730"/>
      <c r="L564" s="470"/>
    </row>
    <row r="565" spans="2:12" x14ac:dyDescent="0.25">
      <c r="B565" s="740"/>
      <c r="C565" s="740"/>
      <c r="G565" s="730"/>
      <c r="L565" s="470"/>
    </row>
    <row r="566" spans="2:12" x14ac:dyDescent="0.25">
      <c r="B566" s="740"/>
      <c r="C566" s="740"/>
      <c r="G566" s="730"/>
      <c r="L566" s="470"/>
    </row>
    <row r="567" spans="2:12" x14ac:dyDescent="0.25">
      <c r="B567" s="740"/>
      <c r="C567" s="740"/>
      <c r="G567" s="730"/>
      <c r="L567" s="470"/>
    </row>
    <row r="568" spans="2:12" x14ac:dyDescent="0.25">
      <c r="B568" s="740"/>
      <c r="C568" s="740"/>
      <c r="G568" s="730"/>
      <c r="L568" s="470"/>
    </row>
    <row r="569" spans="2:12" x14ac:dyDescent="0.25">
      <c r="B569" s="740"/>
      <c r="C569" s="740"/>
      <c r="G569" s="730"/>
      <c r="L569" s="470"/>
    </row>
    <row r="570" spans="2:12" x14ac:dyDescent="0.25">
      <c r="B570" s="740"/>
      <c r="C570" s="740"/>
      <c r="G570" s="730"/>
      <c r="L570" s="470"/>
    </row>
    <row r="571" spans="2:12" x14ac:dyDescent="0.25">
      <c r="B571" s="740"/>
      <c r="C571" s="740"/>
      <c r="G571" s="730"/>
      <c r="L571" s="470"/>
    </row>
    <row r="572" spans="2:12" x14ac:dyDescent="0.25">
      <c r="B572" s="740"/>
      <c r="C572" s="740"/>
      <c r="G572" s="730"/>
      <c r="L572" s="470"/>
    </row>
    <row r="573" spans="2:12" x14ac:dyDescent="0.25">
      <c r="B573" s="740"/>
      <c r="C573" s="740"/>
      <c r="G573" s="730"/>
      <c r="L573" s="470"/>
    </row>
    <row r="574" spans="2:12" x14ac:dyDescent="0.25">
      <c r="B574" s="740"/>
      <c r="C574" s="740"/>
      <c r="G574" s="730"/>
      <c r="L574" s="470"/>
    </row>
    <row r="575" spans="2:12" x14ac:dyDescent="0.25">
      <c r="B575" s="740"/>
      <c r="C575" s="740"/>
      <c r="G575" s="730"/>
      <c r="L575" s="470"/>
    </row>
    <row r="576" spans="2:12" x14ac:dyDescent="0.25">
      <c r="B576" s="740"/>
      <c r="C576" s="740"/>
      <c r="G576" s="730"/>
      <c r="L576" s="470"/>
    </row>
    <row r="577" spans="2:12" x14ac:dyDescent="0.25">
      <c r="B577" s="740"/>
      <c r="C577" s="740"/>
      <c r="G577" s="730"/>
      <c r="L577" s="470"/>
    </row>
    <row r="578" spans="2:12" x14ac:dyDescent="0.25">
      <c r="B578" s="740"/>
      <c r="C578" s="740"/>
      <c r="G578" s="730"/>
      <c r="L578" s="470"/>
    </row>
    <row r="579" spans="2:12" x14ac:dyDescent="0.25">
      <c r="B579" s="740"/>
      <c r="C579" s="740"/>
      <c r="G579" s="730"/>
      <c r="L579" s="470"/>
    </row>
    <row r="580" spans="2:12" x14ac:dyDescent="0.25">
      <c r="B580" s="740"/>
      <c r="C580" s="740"/>
      <c r="G580" s="730"/>
      <c r="L580" s="470"/>
    </row>
    <row r="581" spans="2:12" x14ac:dyDescent="0.25">
      <c r="B581" s="740"/>
      <c r="C581" s="740"/>
      <c r="G581" s="730"/>
      <c r="L581" s="470"/>
    </row>
    <row r="582" spans="2:12" x14ac:dyDescent="0.25">
      <c r="B582" s="740"/>
      <c r="C582" s="740"/>
      <c r="G582" s="730"/>
      <c r="L582" s="470"/>
    </row>
    <row r="583" spans="2:12" x14ac:dyDescent="0.25">
      <c r="B583" s="740"/>
      <c r="C583" s="740"/>
      <c r="G583" s="730"/>
      <c r="L583" s="470"/>
    </row>
    <row r="584" spans="2:12" x14ac:dyDescent="0.25">
      <c r="B584" s="740"/>
      <c r="C584" s="740"/>
      <c r="G584" s="730"/>
      <c r="L584" s="470"/>
    </row>
    <row r="585" spans="2:12" x14ac:dyDescent="0.25">
      <c r="B585" s="740"/>
      <c r="C585" s="740"/>
      <c r="G585" s="730"/>
      <c r="L585" s="470"/>
    </row>
    <row r="586" spans="2:12" x14ac:dyDescent="0.25">
      <c r="B586" s="740"/>
      <c r="C586" s="740"/>
      <c r="G586" s="730"/>
      <c r="L586" s="470"/>
    </row>
    <row r="587" spans="2:12" x14ac:dyDescent="0.25">
      <c r="B587" s="740"/>
      <c r="C587" s="740"/>
      <c r="G587" s="730"/>
      <c r="L587" s="470"/>
    </row>
    <row r="588" spans="2:12" x14ac:dyDescent="0.25">
      <c r="B588" s="740"/>
      <c r="C588" s="740"/>
      <c r="G588" s="730"/>
      <c r="L588" s="470"/>
    </row>
    <row r="589" spans="2:12" x14ac:dyDescent="0.25">
      <c r="B589" s="740"/>
      <c r="C589" s="740"/>
      <c r="G589" s="730"/>
      <c r="L589" s="470"/>
    </row>
    <row r="590" spans="2:12" x14ac:dyDescent="0.25">
      <c r="B590" s="740"/>
      <c r="C590" s="740"/>
      <c r="G590" s="730"/>
      <c r="L590" s="470"/>
    </row>
    <row r="591" spans="2:12" x14ac:dyDescent="0.25">
      <c r="B591" s="740"/>
      <c r="C591" s="740"/>
      <c r="G591" s="730"/>
      <c r="L591" s="470"/>
    </row>
    <row r="592" spans="2:12" x14ac:dyDescent="0.25">
      <c r="B592" s="740"/>
      <c r="C592" s="740"/>
      <c r="G592" s="730"/>
      <c r="L592" s="470"/>
    </row>
    <row r="593" spans="2:12" x14ac:dyDescent="0.25">
      <c r="B593" s="740"/>
      <c r="C593" s="740"/>
      <c r="G593" s="730"/>
      <c r="L593" s="470"/>
    </row>
    <row r="594" spans="2:12" x14ac:dyDescent="0.25">
      <c r="B594" s="740"/>
      <c r="C594" s="740"/>
      <c r="G594" s="730"/>
      <c r="L594" s="470"/>
    </row>
    <row r="595" spans="2:12" x14ac:dyDescent="0.25">
      <c r="B595" s="740"/>
      <c r="C595" s="740"/>
      <c r="G595" s="730"/>
    </row>
    <row r="596" spans="2:12" x14ac:dyDescent="0.25">
      <c r="B596" s="740"/>
      <c r="C596" s="740"/>
      <c r="G596" s="730"/>
    </row>
    <row r="597" spans="2:12" x14ac:dyDescent="0.25">
      <c r="B597" s="740"/>
      <c r="C597" s="740"/>
      <c r="G597" s="730"/>
    </row>
    <row r="598" spans="2:12" x14ac:dyDescent="0.25">
      <c r="B598" s="740"/>
      <c r="C598" s="740"/>
      <c r="G598" s="730"/>
    </row>
    <row r="599" spans="2:12" x14ac:dyDescent="0.25">
      <c r="B599" s="740"/>
      <c r="C599" s="740"/>
      <c r="G599" s="730"/>
    </row>
    <row r="600" spans="2:12" x14ac:dyDescent="0.25">
      <c r="B600" s="740"/>
      <c r="C600" s="740"/>
      <c r="G600" s="730"/>
    </row>
    <row r="601" spans="2:12" x14ac:dyDescent="0.25">
      <c r="B601" s="740"/>
      <c r="C601" s="740"/>
      <c r="G601" s="730"/>
    </row>
    <row r="602" spans="2:12" x14ac:dyDescent="0.25">
      <c r="B602" s="740"/>
      <c r="C602" s="740"/>
      <c r="G602" s="730"/>
    </row>
    <row r="603" spans="2:12" x14ac:dyDescent="0.25">
      <c r="B603" s="740"/>
      <c r="C603" s="740"/>
      <c r="G603" s="730"/>
    </row>
    <row r="604" spans="2:12" x14ac:dyDescent="0.25">
      <c r="B604" s="740"/>
      <c r="C604" s="740"/>
      <c r="G604" s="730"/>
    </row>
    <row r="605" spans="2:12" x14ac:dyDescent="0.25">
      <c r="B605" s="740"/>
      <c r="C605" s="740"/>
      <c r="G605" s="730"/>
    </row>
    <row r="606" spans="2:12" x14ac:dyDescent="0.25">
      <c r="B606" s="740"/>
      <c r="C606" s="740"/>
      <c r="G606" s="730"/>
    </row>
    <row r="607" spans="2:12" x14ac:dyDescent="0.25">
      <c r="B607" s="740"/>
      <c r="C607" s="740"/>
      <c r="G607" s="730"/>
    </row>
    <row r="608" spans="2:12" x14ac:dyDescent="0.25">
      <c r="B608" s="740"/>
      <c r="C608" s="740"/>
      <c r="G608" s="730"/>
    </row>
    <row r="609" spans="2:7" x14ac:dyDescent="0.25">
      <c r="B609" s="740"/>
      <c r="C609" s="740"/>
      <c r="G609" s="730"/>
    </row>
    <row r="610" spans="2:7" x14ac:dyDescent="0.25">
      <c r="B610" s="740"/>
      <c r="C610" s="740"/>
      <c r="G610" s="730"/>
    </row>
    <row r="611" spans="2:7" x14ac:dyDescent="0.25">
      <c r="B611" s="740"/>
      <c r="C611" s="740"/>
      <c r="G611" s="730"/>
    </row>
    <row r="612" spans="2:7" x14ac:dyDescent="0.25">
      <c r="B612" s="740"/>
      <c r="C612" s="740"/>
      <c r="G612" s="730"/>
    </row>
    <row r="613" spans="2:7" x14ac:dyDescent="0.25">
      <c r="B613" s="740"/>
      <c r="C613" s="740"/>
      <c r="G613" s="730"/>
    </row>
    <row r="614" spans="2:7" x14ac:dyDescent="0.25">
      <c r="B614" s="740"/>
      <c r="C614" s="740"/>
      <c r="G614" s="730"/>
    </row>
    <row r="615" spans="2:7" x14ac:dyDescent="0.25">
      <c r="B615" s="740"/>
      <c r="C615" s="740"/>
      <c r="G615" s="730"/>
    </row>
    <row r="616" spans="2:7" x14ac:dyDescent="0.25">
      <c r="B616" s="740"/>
      <c r="C616" s="740"/>
      <c r="G616" s="730"/>
    </row>
    <row r="617" spans="2:7" x14ac:dyDescent="0.25">
      <c r="B617" s="740"/>
      <c r="C617" s="740"/>
      <c r="G617" s="730"/>
    </row>
    <row r="618" spans="2:7" x14ac:dyDescent="0.25">
      <c r="B618" s="740"/>
      <c r="C618" s="740"/>
      <c r="G618" s="730"/>
    </row>
    <row r="619" spans="2:7" x14ac:dyDescent="0.25">
      <c r="B619" s="740"/>
      <c r="C619" s="740"/>
      <c r="G619" s="730"/>
    </row>
    <row r="620" spans="2:7" x14ac:dyDescent="0.25">
      <c r="B620" s="740"/>
      <c r="C620" s="740"/>
      <c r="G620" s="730"/>
    </row>
    <row r="621" spans="2:7" x14ac:dyDescent="0.25">
      <c r="B621" s="740"/>
      <c r="C621" s="740"/>
      <c r="G621" s="730"/>
    </row>
    <row r="622" spans="2:7" x14ac:dyDescent="0.25">
      <c r="B622" s="740"/>
      <c r="C622" s="740"/>
      <c r="G622" s="730"/>
    </row>
    <row r="623" spans="2:7" x14ac:dyDescent="0.25">
      <c r="B623" s="740"/>
      <c r="C623" s="740"/>
      <c r="G623" s="730"/>
    </row>
    <row r="624" spans="2:7" x14ac:dyDescent="0.25">
      <c r="B624" s="740"/>
      <c r="C624" s="740"/>
      <c r="G624" s="730"/>
    </row>
    <row r="625" spans="2:7" x14ac:dyDescent="0.25">
      <c r="B625" s="740"/>
      <c r="C625" s="740"/>
      <c r="G625" s="730"/>
    </row>
    <row r="626" spans="2:7" x14ac:dyDescent="0.25">
      <c r="B626" s="740"/>
      <c r="C626" s="740"/>
      <c r="G626" s="730"/>
    </row>
    <row r="627" spans="2:7" x14ac:dyDescent="0.25">
      <c r="B627" s="740"/>
      <c r="C627" s="740"/>
      <c r="G627" s="730"/>
    </row>
    <row r="628" spans="2:7" x14ac:dyDescent="0.25">
      <c r="B628" s="740"/>
      <c r="C628" s="740"/>
      <c r="G628" s="730"/>
    </row>
    <row r="629" spans="2:7" x14ac:dyDescent="0.25">
      <c r="B629" s="740"/>
      <c r="C629" s="740"/>
      <c r="G629" s="730"/>
    </row>
    <row r="630" spans="2:7" x14ac:dyDescent="0.25">
      <c r="B630" s="740"/>
      <c r="C630" s="740"/>
      <c r="G630" s="730"/>
    </row>
    <row r="631" spans="2:7" x14ac:dyDescent="0.25">
      <c r="B631" s="740"/>
      <c r="C631" s="740"/>
      <c r="G631" s="730"/>
    </row>
    <row r="632" spans="2:7" x14ac:dyDescent="0.25">
      <c r="B632" s="740"/>
      <c r="C632" s="740"/>
      <c r="G632" s="730"/>
    </row>
    <row r="633" spans="2:7" x14ac:dyDescent="0.25">
      <c r="B633" s="740"/>
      <c r="C633" s="740"/>
      <c r="G633" s="730"/>
    </row>
    <row r="634" spans="2:7" x14ac:dyDescent="0.25">
      <c r="B634" s="740"/>
      <c r="C634" s="740"/>
      <c r="G634" s="730"/>
    </row>
    <row r="635" spans="2:7" x14ac:dyDescent="0.25">
      <c r="B635" s="740"/>
      <c r="C635" s="740"/>
      <c r="G635" s="730"/>
    </row>
    <row r="636" spans="2:7" x14ac:dyDescent="0.25">
      <c r="B636" s="740"/>
      <c r="C636" s="740"/>
      <c r="G636" s="730"/>
    </row>
    <row r="637" spans="2:7" x14ac:dyDescent="0.25">
      <c r="B637" s="740"/>
      <c r="C637" s="740"/>
      <c r="G637" s="730"/>
    </row>
    <row r="638" spans="2:7" x14ac:dyDescent="0.25">
      <c r="B638" s="740"/>
      <c r="C638" s="740"/>
      <c r="G638" s="730"/>
    </row>
    <row r="639" spans="2:7" x14ac:dyDescent="0.25">
      <c r="B639" s="740"/>
      <c r="C639" s="740"/>
      <c r="G639" s="730"/>
    </row>
    <row r="640" spans="2:7" x14ac:dyDescent="0.25">
      <c r="B640" s="740"/>
      <c r="C640" s="740"/>
      <c r="G640" s="730"/>
    </row>
    <row r="641" spans="2:7" x14ac:dyDescent="0.25">
      <c r="B641" s="740"/>
      <c r="C641" s="740"/>
      <c r="G641" s="730"/>
    </row>
    <row r="642" spans="2:7" x14ac:dyDescent="0.25">
      <c r="B642" s="740"/>
      <c r="C642" s="740"/>
      <c r="G642" s="730"/>
    </row>
    <row r="643" spans="2:7" x14ac:dyDescent="0.25">
      <c r="B643" s="740"/>
      <c r="C643" s="740"/>
      <c r="G643" s="730"/>
    </row>
    <row r="644" spans="2:7" x14ac:dyDescent="0.25">
      <c r="B644" s="740"/>
      <c r="C644" s="740"/>
      <c r="G644" s="730"/>
    </row>
    <row r="645" spans="2:7" x14ac:dyDescent="0.25">
      <c r="B645" s="740"/>
      <c r="C645" s="740"/>
      <c r="G645" s="730"/>
    </row>
    <row r="646" spans="2:7" x14ac:dyDescent="0.25">
      <c r="B646" s="740"/>
      <c r="C646" s="740"/>
      <c r="G646" s="730"/>
    </row>
    <row r="647" spans="2:7" x14ac:dyDescent="0.25">
      <c r="B647" s="740"/>
      <c r="C647" s="740"/>
      <c r="G647" s="730"/>
    </row>
    <row r="648" spans="2:7" x14ac:dyDescent="0.25">
      <c r="B648" s="740"/>
      <c r="C648" s="740"/>
      <c r="G648" s="730"/>
    </row>
    <row r="649" spans="2:7" x14ac:dyDescent="0.25">
      <c r="B649" s="740"/>
      <c r="C649" s="740"/>
      <c r="G649" s="730"/>
    </row>
    <row r="650" spans="2:7" x14ac:dyDescent="0.25">
      <c r="B650" s="740"/>
      <c r="C650" s="740"/>
      <c r="G650" s="730"/>
    </row>
    <row r="651" spans="2:7" x14ac:dyDescent="0.25">
      <c r="B651" s="740"/>
      <c r="C651" s="740"/>
      <c r="G651" s="730"/>
    </row>
    <row r="652" spans="2:7" x14ac:dyDescent="0.25">
      <c r="B652" s="740"/>
      <c r="C652" s="740"/>
      <c r="G652" s="730"/>
    </row>
    <row r="653" spans="2:7" x14ac:dyDescent="0.25">
      <c r="B653" s="740"/>
      <c r="C653" s="740"/>
      <c r="G653" s="730"/>
    </row>
    <row r="654" spans="2:7" x14ac:dyDescent="0.25">
      <c r="B654" s="740"/>
      <c r="C654" s="740"/>
      <c r="G654" s="730"/>
    </row>
    <row r="655" spans="2:7" x14ac:dyDescent="0.25">
      <c r="B655" s="740"/>
      <c r="C655" s="740"/>
      <c r="G655" s="730"/>
    </row>
    <row r="656" spans="2:7" x14ac:dyDescent="0.25">
      <c r="B656" s="740"/>
      <c r="C656" s="740"/>
      <c r="G656" s="730"/>
    </row>
    <row r="657" spans="2:7" x14ac:dyDescent="0.25">
      <c r="B657" s="740"/>
      <c r="C657" s="740"/>
      <c r="G657" s="730"/>
    </row>
    <row r="658" spans="2:7" x14ac:dyDescent="0.25">
      <c r="B658" s="740"/>
      <c r="C658" s="740"/>
      <c r="G658" s="730"/>
    </row>
    <row r="659" spans="2:7" x14ac:dyDescent="0.25">
      <c r="B659" s="740"/>
      <c r="C659" s="740"/>
      <c r="G659" s="730"/>
    </row>
    <row r="660" spans="2:7" x14ac:dyDescent="0.25">
      <c r="B660" s="740"/>
      <c r="C660" s="740"/>
      <c r="G660" s="730"/>
    </row>
    <row r="661" spans="2:7" x14ac:dyDescent="0.25">
      <c r="B661" s="740"/>
      <c r="C661" s="740"/>
      <c r="G661" s="730"/>
    </row>
    <row r="662" spans="2:7" x14ac:dyDescent="0.25">
      <c r="B662" s="740"/>
      <c r="C662" s="740"/>
      <c r="G662" s="730"/>
    </row>
    <row r="663" spans="2:7" x14ac:dyDescent="0.25">
      <c r="B663" s="740"/>
      <c r="C663" s="740"/>
      <c r="G663" s="730"/>
    </row>
    <row r="664" spans="2:7" x14ac:dyDescent="0.25">
      <c r="B664" s="740"/>
      <c r="C664" s="740"/>
      <c r="G664" s="730"/>
    </row>
    <row r="665" spans="2:7" x14ac:dyDescent="0.25">
      <c r="B665" s="740"/>
      <c r="C665" s="740"/>
      <c r="G665" s="730"/>
    </row>
    <row r="666" spans="2:7" x14ac:dyDescent="0.25">
      <c r="B666" s="740"/>
      <c r="C666" s="740"/>
      <c r="G666" s="730"/>
    </row>
    <row r="667" spans="2:7" x14ac:dyDescent="0.25">
      <c r="B667" s="740"/>
      <c r="C667" s="740"/>
      <c r="G667" s="730"/>
    </row>
    <row r="668" spans="2:7" x14ac:dyDescent="0.25">
      <c r="B668" s="740"/>
      <c r="C668" s="740"/>
      <c r="G668" s="730"/>
    </row>
    <row r="669" spans="2:7" x14ac:dyDescent="0.25">
      <c r="B669" s="740"/>
      <c r="C669" s="740"/>
      <c r="G669" s="730"/>
    </row>
    <row r="670" spans="2:7" x14ac:dyDescent="0.25">
      <c r="B670" s="740"/>
      <c r="C670" s="740"/>
      <c r="G670" s="730"/>
    </row>
    <row r="671" spans="2:7" x14ac:dyDescent="0.25">
      <c r="B671" s="740"/>
      <c r="C671" s="740"/>
      <c r="G671" s="730"/>
    </row>
    <row r="672" spans="2:7" x14ac:dyDescent="0.25">
      <c r="B672" s="740"/>
      <c r="C672" s="740"/>
      <c r="G672" s="730"/>
    </row>
    <row r="673" spans="2:7" x14ac:dyDescent="0.25">
      <c r="B673" s="740"/>
      <c r="C673" s="740"/>
      <c r="G673" s="730"/>
    </row>
    <row r="674" spans="2:7" x14ac:dyDescent="0.25">
      <c r="B674" s="740"/>
      <c r="C674" s="740"/>
      <c r="G674" s="730"/>
    </row>
    <row r="675" spans="2:7" x14ac:dyDescent="0.25">
      <c r="B675" s="740"/>
      <c r="C675" s="740"/>
      <c r="G675" s="730"/>
    </row>
    <row r="676" spans="2:7" x14ac:dyDescent="0.25">
      <c r="B676" s="740"/>
      <c r="C676" s="740"/>
      <c r="G676" s="730"/>
    </row>
    <row r="677" spans="2:7" x14ac:dyDescent="0.25">
      <c r="B677" s="740"/>
      <c r="C677" s="740"/>
      <c r="G677" s="730"/>
    </row>
    <row r="678" spans="2:7" x14ac:dyDescent="0.25">
      <c r="B678" s="740"/>
      <c r="C678" s="740"/>
      <c r="G678" s="730"/>
    </row>
    <row r="679" spans="2:7" x14ac:dyDescent="0.25">
      <c r="B679" s="740"/>
      <c r="C679" s="740"/>
      <c r="G679" s="730"/>
    </row>
    <row r="680" spans="2:7" x14ac:dyDescent="0.25">
      <c r="B680" s="740"/>
      <c r="C680" s="740"/>
      <c r="G680" s="730"/>
    </row>
    <row r="681" spans="2:7" x14ac:dyDescent="0.25">
      <c r="B681" s="740"/>
      <c r="C681" s="740"/>
      <c r="G681" s="730"/>
    </row>
    <row r="682" spans="2:7" x14ac:dyDescent="0.25">
      <c r="B682" s="740"/>
      <c r="C682" s="740"/>
      <c r="G682" s="730"/>
    </row>
    <row r="683" spans="2:7" x14ac:dyDescent="0.25">
      <c r="B683" s="740"/>
      <c r="C683" s="740"/>
      <c r="G683" s="730"/>
    </row>
    <row r="684" spans="2:7" x14ac:dyDescent="0.25">
      <c r="B684" s="740"/>
      <c r="C684" s="740"/>
      <c r="G684" s="730"/>
    </row>
    <row r="685" spans="2:7" x14ac:dyDescent="0.25">
      <c r="B685" s="740"/>
      <c r="C685" s="740"/>
      <c r="G685" s="730"/>
    </row>
    <row r="686" spans="2:7" x14ac:dyDescent="0.25">
      <c r="B686" s="740"/>
      <c r="C686" s="740"/>
      <c r="G686" s="730"/>
    </row>
    <row r="687" spans="2:7" x14ac:dyDescent="0.25">
      <c r="B687" s="740"/>
      <c r="C687" s="740"/>
      <c r="G687" s="730"/>
    </row>
    <row r="688" spans="2:7" x14ac:dyDescent="0.25">
      <c r="B688" s="740"/>
      <c r="C688" s="740"/>
      <c r="G688" s="730"/>
    </row>
    <row r="689" spans="2:7" x14ac:dyDescent="0.25">
      <c r="B689" s="740"/>
      <c r="C689" s="740"/>
      <c r="G689" s="730"/>
    </row>
    <row r="690" spans="2:7" x14ac:dyDescent="0.25">
      <c r="B690" s="740"/>
      <c r="C690" s="740"/>
      <c r="G690" s="730"/>
    </row>
    <row r="691" spans="2:7" x14ac:dyDescent="0.25">
      <c r="B691" s="740"/>
      <c r="C691" s="740"/>
      <c r="G691" s="730"/>
    </row>
    <row r="692" spans="2:7" x14ac:dyDescent="0.25">
      <c r="B692" s="740"/>
      <c r="C692" s="740"/>
      <c r="G692" s="730"/>
    </row>
    <row r="693" spans="2:7" x14ac:dyDescent="0.25">
      <c r="B693" s="740"/>
      <c r="C693" s="740"/>
      <c r="G693" s="730"/>
    </row>
    <row r="694" spans="2:7" x14ac:dyDescent="0.25">
      <c r="B694" s="740"/>
      <c r="C694" s="740"/>
      <c r="G694" s="730"/>
    </row>
    <row r="695" spans="2:7" x14ac:dyDescent="0.25">
      <c r="B695" s="740"/>
      <c r="C695" s="740"/>
      <c r="G695" s="730"/>
    </row>
    <row r="696" spans="2:7" x14ac:dyDescent="0.25">
      <c r="B696" s="740"/>
      <c r="C696" s="740"/>
      <c r="G696" s="730"/>
    </row>
    <row r="697" spans="2:7" x14ac:dyDescent="0.25">
      <c r="B697" s="740"/>
      <c r="C697" s="740"/>
      <c r="G697" s="730"/>
    </row>
    <row r="698" spans="2:7" x14ac:dyDescent="0.25">
      <c r="B698" s="740"/>
      <c r="C698" s="740"/>
      <c r="G698" s="730"/>
    </row>
    <row r="699" spans="2:7" x14ac:dyDescent="0.25">
      <c r="B699" s="740"/>
      <c r="C699" s="740"/>
      <c r="G699" s="730"/>
    </row>
    <row r="700" spans="2:7" x14ac:dyDescent="0.25">
      <c r="B700" s="740"/>
      <c r="C700" s="740"/>
      <c r="G700" s="730"/>
    </row>
    <row r="701" spans="2:7" x14ac:dyDescent="0.25">
      <c r="B701" s="740"/>
      <c r="C701" s="740"/>
      <c r="G701" s="730"/>
    </row>
    <row r="702" spans="2:7" x14ac:dyDescent="0.25">
      <c r="B702" s="740"/>
      <c r="C702" s="740"/>
      <c r="G702" s="730"/>
    </row>
    <row r="703" spans="2:7" x14ac:dyDescent="0.25">
      <c r="B703" s="740"/>
      <c r="C703" s="740"/>
      <c r="G703" s="730"/>
    </row>
    <row r="704" spans="2:7" x14ac:dyDescent="0.25">
      <c r="B704" s="740"/>
      <c r="C704" s="740"/>
      <c r="G704" s="730"/>
    </row>
    <row r="705" spans="2:7" x14ac:dyDescent="0.25">
      <c r="B705" s="740"/>
      <c r="C705" s="740"/>
      <c r="G705" s="730"/>
    </row>
    <row r="706" spans="2:7" x14ac:dyDescent="0.25">
      <c r="B706" s="740"/>
      <c r="C706" s="740"/>
      <c r="G706" s="730"/>
    </row>
    <row r="707" spans="2:7" x14ac:dyDescent="0.25">
      <c r="B707" s="740"/>
      <c r="C707" s="740"/>
      <c r="G707" s="730"/>
    </row>
    <row r="708" spans="2:7" x14ac:dyDescent="0.25">
      <c r="B708" s="740"/>
      <c r="C708" s="740"/>
      <c r="G708" s="730"/>
    </row>
    <row r="709" spans="2:7" x14ac:dyDescent="0.25">
      <c r="B709" s="740"/>
      <c r="C709" s="740"/>
      <c r="G709" s="730"/>
    </row>
    <row r="710" spans="2:7" x14ac:dyDescent="0.25">
      <c r="B710" s="740"/>
      <c r="C710" s="740"/>
      <c r="G710" s="730"/>
    </row>
    <row r="711" spans="2:7" x14ac:dyDescent="0.25">
      <c r="B711" s="740"/>
      <c r="C711" s="740"/>
      <c r="G711" s="730"/>
    </row>
    <row r="712" spans="2:7" x14ac:dyDescent="0.25">
      <c r="B712" s="740"/>
      <c r="C712" s="740"/>
      <c r="G712" s="730"/>
    </row>
    <row r="713" spans="2:7" x14ac:dyDescent="0.25">
      <c r="B713" s="740"/>
      <c r="C713" s="740"/>
      <c r="G713" s="730"/>
    </row>
    <row r="714" spans="2:7" x14ac:dyDescent="0.25">
      <c r="B714" s="740"/>
      <c r="C714" s="740"/>
      <c r="G714" s="730"/>
    </row>
    <row r="715" spans="2:7" x14ac:dyDescent="0.25">
      <c r="B715" s="740"/>
      <c r="C715" s="740"/>
      <c r="G715" s="730"/>
    </row>
    <row r="716" spans="2:7" x14ac:dyDescent="0.25">
      <c r="B716" s="740"/>
      <c r="C716" s="740"/>
      <c r="G716" s="730"/>
    </row>
    <row r="717" spans="2:7" x14ac:dyDescent="0.25">
      <c r="B717" s="740"/>
      <c r="C717" s="740"/>
      <c r="G717" s="730"/>
    </row>
    <row r="718" spans="2:7" x14ac:dyDescent="0.25">
      <c r="B718" s="740"/>
      <c r="C718" s="740"/>
      <c r="G718" s="730"/>
    </row>
    <row r="719" spans="2:7" x14ac:dyDescent="0.25">
      <c r="B719" s="740"/>
      <c r="C719" s="740"/>
      <c r="G719" s="730"/>
    </row>
    <row r="720" spans="2:7" x14ac:dyDescent="0.25">
      <c r="B720" s="740"/>
      <c r="C720" s="740"/>
      <c r="G720" s="730"/>
    </row>
    <row r="721" spans="2:7" x14ac:dyDescent="0.25">
      <c r="B721" s="740"/>
      <c r="C721" s="740"/>
      <c r="G721" s="730"/>
    </row>
    <row r="722" spans="2:7" x14ac:dyDescent="0.25">
      <c r="B722" s="740"/>
      <c r="C722" s="740"/>
      <c r="G722" s="730"/>
    </row>
    <row r="723" spans="2:7" x14ac:dyDescent="0.25">
      <c r="B723" s="740"/>
      <c r="C723" s="740"/>
      <c r="G723" s="730"/>
    </row>
    <row r="724" spans="2:7" x14ac:dyDescent="0.25">
      <c r="B724" s="740"/>
      <c r="C724" s="740"/>
      <c r="G724" s="730"/>
    </row>
    <row r="725" spans="2:7" x14ac:dyDescent="0.25">
      <c r="B725" s="740"/>
      <c r="C725" s="740"/>
      <c r="G725" s="730"/>
    </row>
    <row r="726" spans="2:7" x14ac:dyDescent="0.25">
      <c r="B726" s="740"/>
      <c r="C726" s="740"/>
      <c r="G726" s="730"/>
    </row>
    <row r="727" spans="2:7" x14ac:dyDescent="0.25">
      <c r="B727" s="740"/>
      <c r="C727" s="740"/>
      <c r="G727" s="730"/>
    </row>
    <row r="728" spans="2:7" x14ac:dyDescent="0.25">
      <c r="B728" s="740"/>
      <c r="C728" s="740"/>
      <c r="G728" s="730"/>
    </row>
    <row r="729" spans="2:7" x14ac:dyDescent="0.25">
      <c r="B729" s="740"/>
      <c r="C729" s="740"/>
      <c r="G729" s="730"/>
    </row>
    <row r="730" spans="2:7" x14ac:dyDescent="0.25">
      <c r="B730" s="740"/>
      <c r="C730" s="740"/>
      <c r="G730" s="730"/>
    </row>
    <row r="731" spans="2:7" x14ac:dyDescent="0.25">
      <c r="B731" s="740"/>
      <c r="C731" s="740"/>
      <c r="G731" s="730"/>
    </row>
    <row r="732" spans="2:7" x14ac:dyDescent="0.25">
      <c r="B732" s="740"/>
      <c r="C732" s="740"/>
      <c r="G732" s="730"/>
    </row>
    <row r="733" spans="2:7" x14ac:dyDescent="0.25">
      <c r="B733" s="740"/>
      <c r="C733" s="740"/>
      <c r="G733" s="730"/>
    </row>
    <row r="734" spans="2:7" x14ac:dyDescent="0.25">
      <c r="B734" s="740"/>
      <c r="C734" s="740"/>
      <c r="G734" s="730"/>
    </row>
    <row r="735" spans="2:7" x14ac:dyDescent="0.25">
      <c r="B735" s="740"/>
      <c r="C735" s="740"/>
      <c r="G735" s="730"/>
    </row>
    <row r="736" spans="2:7" x14ac:dyDescent="0.25">
      <c r="B736" s="740"/>
      <c r="C736" s="740"/>
      <c r="G736" s="730"/>
    </row>
    <row r="737" spans="2:7" x14ac:dyDescent="0.25">
      <c r="B737" s="740"/>
      <c r="C737" s="740"/>
      <c r="G737" s="730"/>
    </row>
    <row r="738" spans="2:7" x14ac:dyDescent="0.25">
      <c r="B738" s="740"/>
      <c r="C738" s="740"/>
      <c r="G738" s="730"/>
    </row>
    <row r="739" spans="2:7" x14ac:dyDescent="0.25">
      <c r="B739" s="740"/>
      <c r="C739" s="740"/>
      <c r="G739" s="730"/>
    </row>
    <row r="740" spans="2:7" x14ac:dyDescent="0.25">
      <c r="B740" s="740"/>
      <c r="C740" s="740"/>
      <c r="G740" s="730"/>
    </row>
    <row r="741" spans="2:7" x14ac:dyDescent="0.25">
      <c r="B741" s="740"/>
      <c r="C741" s="740"/>
      <c r="G741" s="730"/>
    </row>
    <row r="742" spans="2:7" x14ac:dyDescent="0.25">
      <c r="B742" s="740"/>
      <c r="C742" s="740"/>
      <c r="G742" s="730"/>
    </row>
    <row r="743" spans="2:7" x14ac:dyDescent="0.25">
      <c r="B743" s="740"/>
      <c r="C743" s="740"/>
      <c r="G743" s="730"/>
    </row>
    <row r="744" spans="2:7" x14ac:dyDescent="0.25">
      <c r="B744" s="740"/>
      <c r="C744" s="740"/>
      <c r="G744" s="730"/>
    </row>
    <row r="745" spans="2:7" x14ac:dyDescent="0.25">
      <c r="B745" s="740"/>
      <c r="C745" s="740"/>
      <c r="G745" s="730"/>
    </row>
    <row r="746" spans="2:7" x14ac:dyDescent="0.25">
      <c r="B746" s="740"/>
      <c r="C746" s="740"/>
      <c r="G746" s="730"/>
    </row>
    <row r="747" spans="2:7" x14ac:dyDescent="0.25">
      <c r="B747" s="740"/>
      <c r="C747" s="740"/>
      <c r="G747" s="730"/>
    </row>
    <row r="748" spans="2:7" x14ac:dyDescent="0.25">
      <c r="B748" s="740"/>
      <c r="C748" s="740"/>
      <c r="G748" s="730"/>
    </row>
    <row r="749" spans="2:7" x14ac:dyDescent="0.25">
      <c r="B749" s="740"/>
      <c r="C749" s="740"/>
      <c r="G749" s="730"/>
    </row>
    <row r="750" spans="2:7" x14ac:dyDescent="0.25">
      <c r="B750" s="740"/>
      <c r="C750" s="740"/>
      <c r="G750" s="730"/>
    </row>
    <row r="751" spans="2:7" x14ac:dyDescent="0.25">
      <c r="B751" s="740"/>
      <c r="C751" s="740"/>
      <c r="G751" s="730"/>
    </row>
    <row r="752" spans="2:7" x14ac:dyDescent="0.25">
      <c r="B752" s="740"/>
      <c r="C752" s="740"/>
      <c r="G752" s="730"/>
    </row>
    <row r="753" spans="2:7" x14ac:dyDescent="0.25">
      <c r="B753" s="740"/>
      <c r="C753" s="740"/>
      <c r="G753" s="730"/>
    </row>
    <row r="754" spans="2:7" x14ac:dyDescent="0.25">
      <c r="B754" s="740"/>
      <c r="C754" s="740"/>
      <c r="G754" s="730"/>
    </row>
    <row r="755" spans="2:7" x14ac:dyDescent="0.25">
      <c r="B755" s="740"/>
      <c r="C755" s="740"/>
      <c r="G755" s="730"/>
    </row>
    <row r="756" spans="2:7" x14ac:dyDescent="0.25">
      <c r="B756" s="740"/>
      <c r="C756" s="740"/>
      <c r="G756" s="730"/>
    </row>
    <row r="757" spans="2:7" x14ac:dyDescent="0.25">
      <c r="B757" s="740"/>
      <c r="C757" s="740"/>
      <c r="G757" s="730"/>
    </row>
    <row r="758" spans="2:7" x14ac:dyDescent="0.25">
      <c r="B758" s="740"/>
      <c r="C758" s="740"/>
      <c r="G758" s="730"/>
    </row>
    <row r="759" spans="2:7" x14ac:dyDescent="0.25">
      <c r="B759" s="740"/>
      <c r="C759" s="740"/>
      <c r="G759" s="730"/>
    </row>
    <row r="760" spans="2:7" x14ac:dyDescent="0.25">
      <c r="B760" s="740"/>
      <c r="C760" s="740"/>
      <c r="G760" s="730"/>
    </row>
    <row r="761" spans="2:7" x14ac:dyDescent="0.25">
      <c r="B761" s="740"/>
      <c r="C761" s="740"/>
      <c r="G761" s="730"/>
    </row>
    <row r="762" spans="2:7" x14ac:dyDescent="0.25">
      <c r="B762" s="740"/>
      <c r="C762" s="740"/>
      <c r="G762" s="730"/>
    </row>
    <row r="763" spans="2:7" x14ac:dyDescent="0.25">
      <c r="B763" s="740"/>
      <c r="C763" s="740"/>
      <c r="G763" s="730"/>
    </row>
    <row r="764" spans="2:7" x14ac:dyDescent="0.25">
      <c r="B764" s="740"/>
      <c r="C764" s="740"/>
      <c r="G764" s="730"/>
    </row>
    <row r="765" spans="2:7" x14ac:dyDescent="0.25">
      <c r="B765" s="740"/>
      <c r="C765" s="740"/>
      <c r="G765" s="730"/>
    </row>
    <row r="766" spans="2:7" x14ac:dyDescent="0.25">
      <c r="B766" s="740"/>
      <c r="C766" s="740"/>
      <c r="G766" s="730"/>
    </row>
    <row r="767" spans="2:7" x14ac:dyDescent="0.25">
      <c r="B767" s="740"/>
      <c r="C767" s="740"/>
      <c r="G767" s="730"/>
    </row>
    <row r="768" spans="2:7" x14ac:dyDescent="0.25">
      <c r="B768" s="740"/>
      <c r="C768" s="740"/>
      <c r="G768" s="730"/>
    </row>
    <row r="769" spans="2:7" x14ac:dyDescent="0.25">
      <c r="B769" s="740"/>
      <c r="C769" s="740"/>
      <c r="G769" s="730"/>
    </row>
    <row r="770" spans="2:7" x14ac:dyDescent="0.25">
      <c r="B770" s="740"/>
      <c r="C770" s="740"/>
      <c r="G770" s="730"/>
    </row>
    <row r="771" spans="2:7" x14ac:dyDescent="0.25">
      <c r="B771" s="740"/>
      <c r="C771" s="740"/>
      <c r="G771" s="730"/>
    </row>
    <row r="772" spans="2:7" x14ac:dyDescent="0.25">
      <c r="B772" s="740"/>
      <c r="C772" s="740"/>
      <c r="G772" s="730"/>
    </row>
    <row r="773" spans="2:7" x14ac:dyDescent="0.25">
      <c r="B773" s="740"/>
      <c r="C773" s="740"/>
      <c r="G773" s="730"/>
    </row>
    <row r="774" spans="2:7" x14ac:dyDescent="0.25">
      <c r="B774" s="740"/>
      <c r="C774" s="740"/>
      <c r="G774" s="730"/>
    </row>
    <row r="775" spans="2:7" x14ac:dyDescent="0.25">
      <c r="B775" s="740"/>
      <c r="C775" s="740"/>
      <c r="G775" s="730"/>
    </row>
    <row r="776" spans="2:7" x14ac:dyDescent="0.25">
      <c r="B776" s="740"/>
      <c r="C776" s="740"/>
      <c r="G776" s="730"/>
    </row>
    <row r="777" spans="2:7" x14ac:dyDescent="0.25">
      <c r="B777" s="740"/>
      <c r="C777" s="740"/>
      <c r="G777" s="730"/>
    </row>
    <row r="778" spans="2:7" x14ac:dyDescent="0.25">
      <c r="B778" s="740"/>
      <c r="C778" s="740"/>
      <c r="G778" s="730"/>
    </row>
    <row r="779" spans="2:7" x14ac:dyDescent="0.25">
      <c r="B779" s="740"/>
      <c r="C779" s="740"/>
      <c r="G779" s="730"/>
    </row>
    <row r="780" spans="2:7" x14ac:dyDescent="0.25">
      <c r="B780" s="740"/>
      <c r="C780" s="740"/>
      <c r="G780" s="730"/>
    </row>
    <row r="781" spans="2:7" x14ac:dyDescent="0.25">
      <c r="B781" s="740"/>
      <c r="C781" s="740"/>
      <c r="G781" s="730"/>
    </row>
    <row r="782" spans="2:7" x14ac:dyDescent="0.25">
      <c r="B782" s="740"/>
      <c r="C782" s="740"/>
      <c r="G782" s="730"/>
    </row>
    <row r="783" spans="2:7" x14ac:dyDescent="0.25">
      <c r="B783" s="740"/>
      <c r="C783" s="740"/>
      <c r="G783" s="730"/>
    </row>
    <row r="784" spans="2:7" x14ac:dyDescent="0.25">
      <c r="B784" s="740"/>
      <c r="C784" s="740"/>
      <c r="G784" s="730"/>
    </row>
    <row r="785" spans="2:7" x14ac:dyDescent="0.25">
      <c r="B785" s="740"/>
      <c r="C785" s="740"/>
      <c r="G785" s="730"/>
    </row>
    <row r="786" spans="2:7" x14ac:dyDescent="0.25">
      <c r="B786" s="740"/>
      <c r="C786" s="740"/>
      <c r="G786" s="730"/>
    </row>
    <row r="787" spans="2:7" x14ac:dyDescent="0.25">
      <c r="B787" s="740"/>
      <c r="C787" s="740"/>
      <c r="G787" s="730"/>
    </row>
    <row r="788" spans="2:7" x14ac:dyDescent="0.25">
      <c r="B788" s="740"/>
      <c r="C788" s="740"/>
      <c r="G788" s="730"/>
    </row>
    <row r="789" spans="2:7" x14ac:dyDescent="0.25">
      <c r="B789" s="740"/>
      <c r="C789" s="740"/>
      <c r="G789" s="730"/>
    </row>
    <row r="790" spans="2:7" x14ac:dyDescent="0.25">
      <c r="B790" s="740"/>
      <c r="C790" s="740"/>
      <c r="G790" s="730"/>
    </row>
    <row r="791" spans="2:7" x14ac:dyDescent="0.25">
      <c r="B791" s="740"/>
      <c r="C791" s="740"/>
      <c r="G791" s="730"/>
    </row>
    <row r="792" spans="2:7" x14ac:dyDescent="0.25">
      <c r="B792" s="740"/>
      <c r="C792" s="740"/>
      <c r="G792" s="730"/>
    </row>
    <row r="793" spans="2:7" x14ac:dyDescent="0.25">
      <c r="B793" s="740"/>
      <c r="C793" s="740"/>
      <c r="G793" s="730"/>
    </row>
    <row r="794" spans="2:7" x14ac:dyDescent="0.25">
      <c r="B794" s="740"/>
      <c r="C794" s="740"/>
      <c r="G794" s="730"/>
    </row>
    <row r="795" spans="2:7" x14ac:dyDescent="0.25">
      <c r="B795" s="740"/>
      <c r="C795" s="740"/>
      <c r="G795" s="730"/>
    </row>
    <row r="796" spans="2:7" x14ac:dyDescent="0.25">
      <c r="B796" s="740"/>
      <c r="C796" s="740"/>
      <c r="G796" s="730"/>
    </row>
    <row r="797" spans="2:7" x14ac:dyDescent="0.25">
      <c r="B797" s="740"/>
      <c r="C797" s="740"/>
      <c r="G797" s="730"/>
    </row>
    <row r="798" spans="2:7" x14ac:dyDescent="0.25">
      <c r="B798" s="740"/>
      <c r="C798" s="740"/>
      <c r="G798" s="730"/>
    </row>
    <row r="799" spans="2:7" x14ac:dyDescent="0.25">
      <c r="B799" s="740"/>
      <c r="C799" s="740"/>
      <c r="G799" s="730"/>
    </row>
    <row r="800" spans="2:7" x14ac:dyDescent="0.25">
      <c r="B800" s="740"/>
      <c r="C800" s="740"/>
      <c r="G800" s="730"/>
    </row>
    <row r="801" spans="2:7" x14ac:dyDescent="0.25">
      <c r="B801" s="740"/>
      <c r="C801" s="740"/>
      <c r="G801" s="730"/>
    </row>
    <row r="802" spans="2:7" x14ac:dyDescent="0.25">
      <c r="B802" s="740"/>
      <c r="C802" s="740"/>
      <c r="G802" s="730"/>
    </row>
    <row r="803" spans="2:7" x14ac:dyDescent="0.25">
      <c r="B803" s="740"/>
      <c r="C803" s="740"/>
      <c r="G803" s="730"/>
    </row>
    <row r="804" spans="2:7" x14ac:dyDescent="0.25">
      <c r="B804" s="740"/>
      <c r="C804" s="740"/>
      <c r="G804" s="730"/>
    </row>
    <row r="805" spans="2:7" x14ac:dyDescent="0.25">
      <c r="B805" s="740"/>
      <c r="C805" s="740"/>
      <c r="G805" s="730"/>
    </row>
    <row r="806" spans="2:7" x14ac:dyDescent="0.25">
      <c r="B806" s="740"/>
      <c r="C806" s="740"/>
      <c r="G806" s="730"/>
    </row>
    <row r="807" spans="2:7" x14ac:dyDescent="0.25">
      <c r="B807" s="740"/>
      <c r="C807" s="740"/>
      <c r="G807" s="730"/>
    </row>
    <row r="808" spans="2:7" x14ac:dyDescent="0.25">
      <c r="B808" s="740"/>
      <c r="C808" s="740"/>
      <c r="G808" s="730"/>
    </row>
    <row r="809" spans="2:7" x14ac:dyDescent="0.25">
      <c r="B809" s="740"/>
      <c r="C809" s="740"/>
      <c r="G809" s="730"/>
    </row>
    <row r="810" spans="2:7" x14ac:dyDescent="0.25">
      <c r="B810" s="740"/>
      <c r="C810" s="740"/>
      <c r="G810" s="730"/>
    </row>
    <row r="811" spans="2:7" x14ac:dyDescent="0.25">
      <c r="B811" s="740"/>
      <c r="C811" s="740"/>
      <c r="G811" s="730"/>
    </row>
    <row r="812" spans="2:7" x14ac:dyDescent="0.25">
      <c r="B812" s="740"/>
      <c r="C812" s="740"/>
      <c r="G812" s="730"/>
    </row>
    <row r="813" spans="2:7" x14ac:dyDescent="0.25">
      <c r="B813" s="740"/>
      <c r="C813" s="740"/>
      <c r="G813" s="730"/>
    </row>
    <row r="814" spans="2:7" x14ac:dyDescent="0.25">
      <c r="B814" s="740"/>
      <c r="C814" s="740"/>
      <c r="G814" s="730"/>
    </row>
    <row r="815" spans="2:7" x14ac:dyDescent="0.25">
      <c r="B815" s="740"/>
      <c r="C815" s="740"/>
      <c r="G815" s="730"/>
    </row>
    <row r="816" spans="2:7" x14ac:dyDescent="0.25">
      <c r="B816" s="740"/>
      <c r="C816" s="740"/>
      <c r="G816" s="730"/>
    </row>
    <row r="817" spans="2:7" x14ac:dyDescent="0.25">
      <c r="B817" s="740"/>
      <c r="C817" s="740"/>
      <c r="G817" s="730"/>
    </row>
    <row r="818" spans="2:7" x14ac:dyDescent="0.25">
      <c r="B818" s="740"/>
      <c r="C818" s="740"/>
      <c r="G818" s="730"/>
    </row>
    <row r="819" spans="2:7" x14ac:dyDescent="0.25">
      <c r="B819" s="740"/>
      <c r="C819" s="740"/>
      <c r="G819" s="730"/>
    </row>
    <row r="820" spans="2:7" x14ac:dyDescent="0.25">
      <c r="B820" s="740"/>
      <c r="C820" s="740"/>
      <c r="G820" s="730"/>
    </row>
    <row r="821" spans="2:7" x14ac:dyDescent="0.25">
      <c r="B821" s="740"/>
      <c r="C821" s="740"/>
      <c r="G821" s="730"/>
    </row>
    <row r="822" spans="2:7" x14ac:dyDescent="0.25">
      <c r="B822" s="740"/>
      <c r="C822" s="740"/>
      <c r="G822" s="730"/>
    </row>
    <row r="823" spans="2:7" x14ac:dyDescent="0.25">
      <c r="B823" s="740"/>
      <c r="C823" s="740"/>
      <c r="G823" s="730"/>
    </row>
    <row r="824" spans="2:7" x14ac:dyDescent="0.25">
      <c r="B824" s="740"/>
      <c r="C824" s="740"/>
      <c r="G824" s="730"/>
    </row>
    <row r="825" spans="2:7" x14ac:dyDescent="0.25">
      <c r="B825" s="740"/>
      <c r="C825" s="740"/>
      <c r="G825" s="730"/>
    </row>
    <row r="826" spans="2:7" x14ac:dyDescent="0.25">
      <c r="B826" s="740"/>
      <c r="C826" s="740"/>
      <c r="G826" s="730"/>
    </row>
    <row r="827" spans="2:7" x14ac:dyDescent="0.25">
      <c r="B827" s="740"/>
      <c r="C827" s="740"/>
      <c r="G827" s="730"/>
    </row>
    <row r="828" spans="2:7" x14ac:dyDescent="0.25">
      <c r="B828" s="740"/>
      <c r="C828" s="740"/>
      <c r="G828" s="730"/>
    </row>
    <row r="829" spans="2:7" x14ac:dyDescent="0.25">
      <c r="B829" s="740"/>
      <c r="C829" s="740"/>
      <c r="G829" s="730"/>
    </row>
    <row r="830" spans="2:7" x14ac:dyDescent="0.25">
      <c r="B830" s="740"/>
      <c r="C830" s="740"/>
      <c r="G830" s="730"/>
    </row>
    <row r="831" spans="2:7" x14ac:dyDescent="0.25">
      <c r="B831" s="740"/>
      <c r="C831" s="740"/>
      <c r="G831" s="730"/>
    </row>
    <row r="832" spans="2:7" x14ac:dyDescent="0.25">
      <c r="B832" s="740"/>
      <c r="C832" s="740"/>
      <c r="G832" s="730"/>
    </row>
    <row r="833" spans="2:7" x14ac:dyDescent="0.25">
      <c r="B833" s="740"/>
      <c r="C833" s="740"/>
      <c r="G833" s="730"/>
    </row>
    <row r="834" spans="2:7" x14ac:dyDescent="0.25">
      <c r="B834" s="740"/>
      <c r="C834" s="740"/>
      <c r="G834" s="730"/>
    </row>
    <row r="835" spans="2:7" x14ac:dyDescent="0.25">
      <c r="B835" s="740"/>
      <c r="C835" s="740"/>
      <c r="G835" s="730"/>
    </row>
    <row r="836" spans="2:7" x14ac:dyDescent="0.25">
      <c r="B836" s="740"/>
      <c r="C836" s="740"/>
      <c r="G836" s="730"/>
    </row>
    <row r="837" spans="2:7" x14ac:dyDescent="0.25">
      <c r="B837" s="740"/>
      <c r="C837" s="740"/>
      <c r="G837" s="730"/>
    </row>
    <row r="838" spans="2:7" x14ac:dyDescent="0.25">
      <c r="B838" s="740"/>
      <c r="C838" s="740"/>
      <c r="G838" s="730"/>
    </row>
    <row r="839" spans="2:7" x14ac:dyDescent="0.25">
      <c r="B839" s="740"/>
      <c r="C839" s="740"/>
      <c r="G839" s="730"/>
    </row>
    <row r="840" spans="2:7" x14ac:dyDescent="0.25">
      <c r="B840" s="740"/>
      <c r="C840" s="740"/>
      <c r="G840" s="730"/>
    </row>
    <row r="841" spans="2:7" x14ac:dyDescent="0.25">
      <c r="B841" s="740"/>
      <c r="C841" s="740"/>
      <c r="G841" s="730"/>
    </row>
    <row r="842" spans="2:7" x14ac:dyDescent="0.25">
      <c r="B842" s="740"/>
      <c r="C842" s="740"/>
      <c r="G842" s="730"/>
    </row>
    <row r="843" spans="2:7" x14ac:dyDescent="0.25">
      <c r="B843" s="740"/>
      <c r="C843" s="740"/>
      <c r="G843" s="730"/>
    </row>
    <row r="844" spans="2:7" x14ac:dyDescent="0.25">
      <c r="B844" s="740"/>
      <c r="C844" s="740"/>
      <c r="G844" s="730"/>
    </row>
    <row r="845" spans="2:7" x14ac:dyDescent="0.25">
      <c r="B845" s="740"/>
      <c r="C845" s="740"/>
      <c r="G845" s="730"/>
    </row>
    <row r="846" spans="2:7" x14ac:dyDescent="0.25">
      <c r="B846" s="740"/>
      <c r="C846" s="740"/>
      <c r="G846" s="730"/>
    </row>
    <row r="847" spans="2:7" x14ac:dyDescent="0.25">
      <c r="B847" s="740"/>
      <c r="C847" s="740"/>
      <c r="G847" s="730"/>
    </row>
    <row r="848" spans="2:7" x14ac:dyDescent="0.25">
      <c r="B848" s="740"/>
      <c r="C848" s="740"/>
      <c r="G848" s="730"/>
    </row>
    <row r="849" spans="2:7" x14ac:dyDescent="0.25">
      <c r="B849" s="740"/>
      <c r="C849" s="740"/>
      <c r="G849" s="730"/>
    </row>
    <row r="850" spans="2:7" x14ac:dyDescent="0.25">
      <c r="B850" s="740"/>
      <c r="C850" s="740"/>
      <c r="G850" s="730"/>
    </row>
    <row r="851" spans="2:7" x14ac:dyDescent="0.25">
      <c r="B851" s="740"/>
      <c r="C851" s="740"/>
      <c r="G851" s="730"/>
    </row>
    <row r="852" spans="2:7" x14ac:dyDescent="0.25">
      <c r="B852" s="740"/>
      <c r="C852" s="740"/>
      <c r="G852" s="730"/>
    </row>
    <row r="853" spans="2:7" x14ac:dyDescent="0.25">
      <c r="B853" s="740"/>
      <c r="C853" s="740"/>
      <c r="G853" s="730"/>
    </row>
    <row r="854" spans="2:7" x14ac:dyDescent="0.25">
      <c r="B854" s="740"/>
      <c r="C854" s="740"/>
      <c r="G854" s="730"/>
    </row>
    <row r="855" spans="2:7" x14ac:dyDescent="0.25">
      <c r="B855" s="740"/>
      <c r="C855" s="740"/>
      <c r="G855" s="730"/>
    </row>
    <row r="856" spans="2:7" x14ac:dyDescent="0.25">
      <c r="B856" s="740"/>
      <c r="C856" s="740"/>
      <c r="G856" s="730"/>
    </row>
    <row r="857" spans="2:7" x14ac:dyDescent="0.25">
      <c r="B857" s="740"/>
      <c r="C857" s="740"/>
      <c r="G857" s="730"/>
    </row>
    <row r="858" spans="2:7" x14ac:dyDescent="0.25">
      <c r="B858" s="740"/>
      <c r="C858" s="740"/>
      <c r="G858" s="730"/>
    </row>
    <row r="859" spans="2:7" x14ac:dyDescent="0.25">
      <c r="B859" s="740"/>
      <c r="C859" s="740"/>
      <c r="G859" s="730"/>
    </row>
    <row r="860" spans="2:7" x14ac:dyDescent="0.25">
      <c r="B860" s="740"/>
      <c r="C860" s="740"/>
      <c r="G860" s="730"/>
    </row>
    <row r="861" spans="2:7" x14ac:dyDescent="0.25">
      <c r="B861" s="740"/>
      <c r="C861" s="740"/>
      <c r="G861" s="730"/>
    </row>
    <row r="862" spans="2:7" x14ac:dyDescent="0.25">
      <c r="B862" s="740"/>
      <c r="C862" s="740"/>
      <c r="G862" s="730"/>
    </row>
    <row r="863" spans="2:7" x14ac:dyDescent="0.25">
      <c r="B863" s="740"/>
      <c r="C863" s="740"/>
      <c r="G863" s="730"/>
    </row>
    <row r="864" spans="2:7" x14ac:dyDescent="0.25">
      <c r="B864" s="740"/>
      <c r="C864" s="740"/>
      <c r="G864" s="730"/>
    </row>
    <row r="865" spans="2:7" x14ac:dyDescent="0.25">
      <c r="B865" s="740"/>
      <c r="C865" s="740"/>
      <c r="G865" s="730"/>
    </row>
    <row r="866" spans="2:7" x14ac:dyDescent="0.25">
      <c r="B866" s="740"/>
      <c r="C866" s="740"/>
      <c r="G866" s="730"/>
    </row>
    <row r="867" spans="2:7" x14ac:dyDescent="0.25">
      <c r="B867" s="740"/>
      <c r="C867" s="740"/>
      <c r="G867" s="730"/>
    </row>
    <row r="868" spans="2:7" x14ac:dyDescent="0.25">
      <c r="B868" s="740"/>
      <c r="C868" s="740"/>
      <c r="G868" s="730"/>
    </row>
    <row r="869" spans="2:7" x14ac:dyDescent="0.25">
      <c r="B869" s="740"/>
      <c r="C869" s="740"/>
      <c r="G869" s="730"/>
    </row>
    <row r="870" spans="2:7" x14ac:dyDescent="0.25">
      <c r="B870" s="740"/>
      <c r="C870" s="740"/>
      <c r="G870" s="730"/>
    </row>
    <row r="871" spans="2:7" x14ac:dyDescent="0.25">
      <c r="B871" s="740"/>
      <c r="C871" s="740"/>
      <c r="G871" s="730"/>
    </row>
    <row r="872" spans="2:7" x14ac:dyDescent="0.25">
      <c r="B872" s="740"/>
      <c r="C872" s="740"/>
      <c r="G872" s="730"/>
    </row>
    <row r="873" spans="2:7" x14ac:dyDescent="0.25">
      <c r="B873" s="740"/>
      <c r="C873" s="740"/>
      <c r="G873" s="730"/>
    </row>
    <row r="874" spans="2:7" x14ac:dyDescent="0.25">
      <c r="B874" s="740"/>
      <c r="C874" s="740"/>
      <c r="G874" s="730"/>
    </row>
    <row r="875" spans="2:7" x14ac:dyDescent="0.25">
      <c r="B875" s="740"/>
      <c r="C875" s="740"/>
      <c r="G875" s="730"/>
    </row>
    <row r="876" spans="2:7" x14ac:dyDescent="0.25">
      <c r="B876" s="740"/>
      <c r="C876" s="740"/>
      <c r="G876" s="730"/>
    </row>
    <row r="877" spans="2:7" x14ac:dyDescent="0.25">
      <c r="B877" s="740"/>
      <c r="C877" s="740"/>
      <c r="G877" s="730"/>
    </row>
    <row r="878" spans="2:7" x14ac:dyDescent="0.25">
      <c r="B878" s="740"/>
      <c r="C878" s="740"/>
      <c r="G878" s="730"/>
    </row>
    <row r="879" spans="2:7" x14ac:dyDescent="0.25">
      <c r="B879" s="740"/>
      <c r="C879" s="740"/>
      <c r="G879" s="730"/>
    </row>
    <row r="880" spans="2:7" x14ac:dyDescent="0.25">
      <c r="B880" s="740"/>
      <c r="C880" s="740"/>
      <c r="G880" s="730"/>
    </row>
    <row r="881" spans="2:7" x14ac:dyDescent="0.25">
      <c r="B881" s="740"/>
      <c r="C881" s="740"/>
      <c r="G881" s="730"/>
    </row>
    <row r="882" spans="2:7" x14ac:dyDescent="0.25">
      <c r="B882" s="740"/>
      <c r="C882" s="740"/>
      <c r="G882" s="730"/>
    </row>
    <row r="883" spans="2:7" x14ac:dyDescent="0.25">
      <c r="B883" s="740"/>
      <c r="C883" s="740"/>
      <c r="G883" s="730"/>
    </row>
    <row r="884" spans="2:7" x14ac:dyDescent="0.25">
      <c r="B884" s="740"/>
      <c r="C884" s="740"/>
      <c r="G884" s="730"/>
    </row>
    <row r="885" spans="2:7" x14ac:dyDescent="0.25">
      <c r="B885" s="740"/>
      <c r="C885" s="740"/>
      <c r="G885" s="730"/>
    </row>
    <row r="886" spans="2:7" x14ac:dyDescent="0.25">
      <c r="B886" s="740"/>
      <c r="C886" s="740"/>
      <c r="G886" s="730"/>
    </row>
    <row r="887" spans="2:7" x14ac:dyDescent="0.25">
      <c r="B887" s="740"/>
      <c r="C887" s="740"/>
      <c r="G887" s="730"/>
    </row>
    <row r="888" spans="2:7" x14ac:dyDescent="0.25">
      <c r="B888" s="740"/>
      <c r="C888" s="740"/>
      <c r="G888" s="730"/>
    </row>
    <row r="889" spans="2:7" x14ac:dyDescent="0.25">
      <c r="B889" s="740"/>
      <c r="C889" s="740"/>
      <c r="G889" s="730"/>
    </row>
    <row r="890" spans="2:7" x14ac:dyDescent="0.25">
      <c r="B890" s="740"/>
      <c r="C890" s="740"/>
      <c r="G890" s="730"/>
    </row>
    <row r="891" spans="2:7" x14ac:dyDescent="0.25">
      <c r="B891" s="740"/>
      <c r="C891" s="740"/>
      <c r="G891" s="730"/>
    </row>
    <row r="892" spans="2:7" x14ac:dyDescent="0.25">
      <c r="B892" s="740"/>
      <c r="C892" s="740"/>
      <c r="G892" s="730"/>
    </row>
    <row r="893" spans="2:7" x14ac:dyDescent="0.25">
      <c r="B893" s="740"/>
      <c r="C893" s="740"/>
      <c r="G893" s="730"/>
    </row>
    <row r="894" spans="2:7" x14ac:dyDescent="0.25">
      <c r="B894" s="740"/>
      <c r="C894" s="740"/>
      <c r="G894" s="730"/>
    </row>
    <row r="895" spans="2:7" x14ac:dyDescent="0.25">
      <c r="B895" s="740"/>
      <c r="C895" s="740"/>
      <c r="G895" s="730"/>
    </row>
    <row r="896" spans="2:7" x14ac:dyDescent="0.25">
      <c r="B896" s="740"/>
      <c r="C896" s="740"/>
      <c r="G896" s="730"/>
    </row>
    <row r="897" spans="2:7" x14ac:dyDescent="0.25">
      <c r="B897" s="740"/>
      <c r="C897" s="740"/>
      <c r="G897" s="730"/>
    </row>
    <row r="898" spans="2:7" x14ac:dyDescent="0.25">
      <c r="B898" s="740"/>
      <c r="C898" s="740"/>
      <c r="G898" s="730"/>
    </row>
    <row r="899" spans="2:7" x14ac:dyDescent="0.25">
      <c r="B899" s="740"/>
      <c r="C899" s="740"/>
      <c r="G899" s="730"/>
    </row>
    <row r="900" spans="2:7" x14ac:dyDescent="0.25">
      <c r="B900" s="740"/>
      <c r="C900" s="740"/>
      <c r="G900" s="730"/>
    </row>
    <row r="901" spans="2:7" x14ac:dyDescent="0.25">
      <c r="B901" s="740"/>
      <c r="C901" s="740"/>
      <c r="G901" s="730"/>
    </row>
    <row r="902" spans="2:7" x14ac:dyDescent="0.25">
      <c r="B902" s="740"/>
      <c r="C902" s="740"/>
      <c r="G902" s="730"/>
    </row>
    <row r="903" spans="2:7" x14ac:dyDescent="0.25">
      <c r="B903" s="740"/>
      <c r="C903" s="740"/>
      <c r="G903" s="730"/>
    </row>
    <row r="904" spans="2:7" x14ac:dyDescent="0.25">
      <c r="B904" s="740"/>
      <c r="C904" s="740"/>
      <c r="G904" s="730"/>
    </row>
    <row r="905" spans="2:7" x14ac:dyDescent="0.25">
      <c r="B905" s="740"/>
      <c r="C905" s="740"/>
      <c r="G905" s="730"/>
    </row>
    <row r="906" spans="2:7" x14ac:dyDescent="0.25">
      <c r="B906" s="740"/>
      <c r="C906" s="740"/>
      <c r="G906" s="730"/>
    </row>
    <row r="907" spans="2:7" x14ac:dyDescent="0.25">
      <c r="B907" s="740"/>
      <c r="C907" s="740"/>
      <c r="G907" s="730"/>
    </row>
    <row r="908" spans="2:7" x14ac:dyDescent="0.25">
      <c r="B908" s="740"/>
      <c r="C908" s="740"/>
      <c r="G908" s="730"/>
    </row>
    <row r="909" spans="2:7" x14ac:dyDescent="0.25">
      <c r="B909" s="740"/>
      <c r="C909" s="740"/>
      <c r="G909" s="730"/>
    </row>
    <row r="910" spans="2:7" x14ac:dyDescent="0.25">
      <c r="B910" s="740"/>
      <c r="C910" s="740"/>
      <c r="G910" s="730"/>
    </row>
    <row r="911" spans="2:7" x14ac:dyDescent="0.25">
      <c r="B911" s="740"/>
      <c r="C911" s="740"/>
      <c r="G911" s="730"/>
    </row>
    <row r="912" spans="2:7" x14ac:dyDescent="0.25">
      <c r="B912" s="740"/>
      <c r="C912" s="740"/>
      <c r="G912" s="730"/>
    </row>
    <row r="913" spans="2:7" x14ac:dyDescent="0.25">
      <c r="B913" s="740"/>
      <c r="C913" s="740"/>
      <c r="G913" s="730"/>
    </row>
    <row r="914" spans="2:7" x14ac:dyDescent="0.25">
      <c r="B914" s="740"/>
      <c r="C914" s="740"/>
      <c r="G914" s="730"/>
    </row>
    <row r="915" spans="2:7" x14ac:dyDescent="0.25">
      <c r="B915" s="740"/>
      <c r="C915" s="740"/>
      <c r="G915" s="730"/>
    </row>
    <row r="916" spans="2:7" x14ac:dyDescent="0.25">
      <c r="B916" s="740"/>
      <c r="C916" s="740"/>
      <c r="G916" s="730"/>
    </row>
    <row r="917" spans="2:7" x14ac:dyDescent="0.25">
      <c r="B917" s="740"/>
      <c r="C917" s="740"/>
      <c r="G917" s="730"/>
    </row>
    <row r="918" spans="2:7" x14ac:dyDescent="0.25">
      <c r="B918" s="740"/>
      <c r="C918" s="740"/>
      <c r="G918" s="730"/>
    </row>
    <row r="919" spans="2:7" x14ac:dyDescent="0.25">
      <c r="B919" s="740"/>
      <c r="C919" s="740"/>
      <c r="G919" s="730"/>
    </row>
    <row r="920" spans="2:7" x14ac:dyDescent="0.25">
      <c r="B920" s="740"/>
      <c r="C920" s="740"/>
      <c r="G920" s="730"/>
    </row>
    <row r="921" spans="2:7" x14ac:dyDescent="0.25">
      <c r="B921" s="740"/>
      <c r="C921" s="740"/>
      <c r="G921" s="730"/>
    </row>
    <row r="922" spans="2:7" x14ac:dyDescent="0.25">
      <c r="B922" s="740"/>
      <c r="C922" s="740"/>
      <c r="G922" s="730"/>
    </row>
    <row r="923" spans="2:7" x14ac:dyDescent="0.25">
      <c r="B923" s="740"/>
      <c r="C923" s="740"/>
      <c r="G923" s="730"/>
    </row>
    <row r="924" spans="2:7" x14ac:dyDescent="0.25">
      <c r="B924" s="740"/>
      <c r="C924" s="740"/>
      <c r="G924" s="730"/>
    </row>
    <row r="925" spans="2:7" x14ac:dyDescent="0.25">
      <c r="B925" s="740"/>
      <c r="C925" s="740"/>
      <c r="G925" s="730"/>
    </row>
    <row r="926" spans="2:7" x14ac:dyDescent="0.25">
      <c r="B926" s="740"/>
      <c r="C926" s="740"/>
      <c r="G926" s="730"/>
    </row>
    <row r="927" spans="2:7" x14ac:dyDescent="0.25">
      <c r="B927" s="740"/>
      <c r="C927" s="740"/>
      <c r="G927" s="730"/>
    </row>
    <row r="928" spans="2:7" x14ac:dyDescent="0.25">
      <c r="B928" s="740"/>
      <c r="C928" s="740"/>
      <c r="G928" s="730"/>
    </row>
    <row r="929" spans="2:7" x14ac:dyDescent="0.25">
      <c r="B929" s="740"/>
      <c r="C929" s="740"/>
      <c r="G929" s="730"/>
    </row>
    <row r="930" spans="2:7" x14ac:dyDescent="0.25">
      <c r="B930" s="740"/>
      <c r="C930" s="740"/>
      <c r="G930" s="730"/>
    </row>
    <row r="931" spans="2:7" x14ac:dyDescent="0.25">
      <c r="B931" s="740"/>
      <c r="C931" s="740"/>
      <c r="G931" s="730"/>
    </row>
    <row r="932" spans="2:7" x14ac:dyDescent="0.25">
      <c r="B932" s="740"/>
      <c r="C932" s="740"/>
      <c r="G932" s="730"/>
    </row>
    <row r="933" spans="2:7" x14ac:dyDescent="0.25">
      <c r="B933" s="740"/>
      <c r="C933" s="740"/>
      <c r="G933" s="730"/>
    </row>
    <row r="934" spans="2:7" x14ac:dyDescent="0.25">
      <c r="B934" s="740"/>
      <c r="C934" s="740"/>
      <c r="G934" s="730"/>
    </row>
    <row r="935" spans="2:7" x14ac:dyDescent="0.25">
      <c r="B935" s="740"/>
      <c r="C935" s="740"/>
      <c r="G935" s="730"/>
    </row>
    <row r="936" spans="2:7" x14ac:dyDescent="0.25">
      <c r="B936" s="740"/>
      <c r="C936" s="740"/>
      <c r="G936" s="730"/>
    </row>
    <row r="937" spans="2:7" x14ac:dyDescent="0.25">
      <c r="B937" s="740"/>
      <c r="C937" s="740"/>
      <c r="G937" s="730"/>
    </row>
    <row r="938" spans="2:7" x14ac:dyDescent="0.25">
      <c r="B938" s="740"/>
      <c r="C938" s="740"/>
      <c r="G938" s="730"/>
    </row>
    <row r="939" spans="2:7" x14ac:dyDescent="0.25">
      <c r="B939" s="740"/>
      <c r="C939" s="740"/>
      <c r="G939" s="730"/>
    </row>
    <row r="940" spans="2:7" x14ac:dyDescent="0.25">
      <c r="B940" s="740"/>
      <c r="C940" s="740"/>
      <c r="G940" s="730"/>
    </row>
    <row r="941" spans="2:7" x14ac:dyDescent="0.25">
      <c r="B941" s="740"/>
      <c r="C941" s="740"/>
      <c r="G941" s="730"/>
    </row>
    <row r="942" spans="2:7" x14ac:dyDescent="0.25">
      <c r="B942" s="740"/>
      <c r="C942" s="740"/>
      <c r="G942" s="730"/>
    </row>
    <row r="943" spans="2:7" x14ac:dyDescent="0.25">
      <c r="B943" s="740"/>
      <c r="C943" s="740"/>
      <c r="G943" s="730"/>
    </row>
    <row r="944" spans="2:7" x14ac:dyDescent="0.25">
      <c r="B944" s="740"/>
      <c r="C944" s="740"/>
      <c r="G944" s="730"/>
    </row>
    <row r="945" spans="2:7" x14ac:dyDescent="0.25">
      <c r="B945" s="740"/>
      <c r="C945" s="740"/>
      <c r="G945" s="730"/>
    </row>
    <row r="946" spans="2:7" x14ac:dyDescent="0.25">
      <c r="B946" s="740"/>
      <c r="C946" s="740"/>
      <c r="G946" s="730"/>
    </row>
    <row r="947" spans="2:7" x14ac:dyDescent="0.25">
      <c r="B947" s="740"/>
      <c r="C947" s="740"/>
      <c r="G947" s="730"/>
    </row>
    <row r="948" spans="2:7" x14ac:dyDescent="0.25">
      <c r="B948" s="740"/>
      <c r="C948" s="740"/>
      <c r="G948" s="730"/>
    </row>
    <row r="949" spans="2:7" x14ac:dyDescent="0.25">
      <c r="B949" s="740"/>
      <c r="C949" s="740"/>
      <c r="G949" s="730"/>
    </row>
    <row r="950" spans="2:7" x14ac:dyDescent="0.25">
      <c r="B950" s="740"/>
      <c r="C950" s="740"/>
      <c r="G950" s="730"/>
    </row>
    <row r="951" spans="2:7" x14ac:dyDescent="0.25">
      <c r="B951" s="740"/>
      <c r="C951" s="740"/>
      <c r="G951" s="730"/>
    </row>
    <row r="952" spans="2:7" x14ac:dyDescent="0.25">
      <c r="B952" s="740"/>
      <c r="C952" s="740"/>
      <c r="G952" s="730"/>
    </row>
    <row r="953" spans="2:7" x14ac:dyDescent="0.25">
      <c r="B953" s="740"/>
      <c r="C953" s="740"/>
      <c r="G953" s="730"/>
    </row>
    <row r="954" spans="2:7" x14ac:dyDescent="0.25">
      <c r="B954" s="740"/>
      <c r="C954" s="740"/>
      <c r="G954" s="730"/>
    </row>
    <row r="955" spans="2:7" x14ac:dyDescent="0.25">
      <c r="B955" s="740"/>
      <c r="C955" s="740"/>
      <c r="G955" s="730"/>
    </row>
    <row r="956" spans="2:7" x14ac:dyDescent="0.25">
      <c r="B956" s="740"/>
      <c r="C956" s="740"/>
      <c r="G956" s="730"/>
    </row>
    <row r="957" spans="2:7" x14ac:dyDescent="0.25">
      <c r="B957" s="740"/>
      <c r="C957" s="740"/>
      <c r="G957" s="730"/>
    </row>
    <row r="958" spans="2:7" x14ac:dyDescent="0.25">
      <c r="B958" s="740"/>
      <c r="C958" s="740"/>
      <c r="G958" s="730"/>
    </row>
    <row r="959" spans="2:7" x14ac:dyDescent="0.25">
      <c r="B959" s="740"/>
      <c r="C959" s="740"/>
      <c r="G959" s="730"/>
    </row>
    <row r="960" spans="2:7" x14ac:dyDescent="0.25">
      <c r="B960" s="740"/>
      <c r="C960" s="740"/>
      <c r="G960" s="730"/>
    </row>
    <row r="961" spans="2:7" x14ac:dyDescent="0.25">
      <c r="B961" s="740"/>
      <c r="C961" s="740"/>
      <c r="G961" s="730"/>
    </row>
    <row r="962" spans="2:7" x14ac:dyDescent="0.25">
      <c r="B962" s="740"/>
      <c r="C962" s="740"/>
      <c r="G962" s="730"/>
    </row>
    <row r="963" spans="2:7" x14ac:dyDescent="0.25">
      <c r="B963" s="740"/>
      <c r="C963" s="740"/>
      <c r="G963" s="730"/>
    </row>
    <row r="964" spans="2:7" x14ac:dyDescent="0.25">
      <c r="B964" s="740"/>
      <c r="C964" s="740"/>
      <c r="G964" s="730"/>
    </row>
    <row r="965" spans="2:7" x14ac:dyDescent="0.25">
      <c r="B965" s="740"/>
      <c r="C965" s="740"/>
      <c r="G965" s="730"/>
    </row>
    <row r="966" spans="2:7" x14ac:dyDescent="0.25">
      <c r="B966" s="740"/>
      <c r="C966" s="740"/>
      <c r="G966" s="730"/>
    </row>
    <row r="967" spans="2:7" x14ac:dyDescent="0.25">
      <c r="B967" s="740"/>
      <c r="C967" s="740"/>
      <c r="G967" s="730"/>
    </row>
    <row r="968" spans="2:7" x14ac:dyDescent="0.25">
      <c r="B968" s="740"/>
      <c r="C968" s="740"/>
      <c r="G968" s="730"/>
    </row>
    <row r="969" spans="2:7" x14ac:dyDescent="0.25">
      <c r="B969" s="740"/>
      <c r="C969" s="740"/>
      <c r="G969" s="730"/>
    </row>
    <row r="970" spans="2:7" x14ac:dyDescent="0.25">
      <c r="B970" s="740"/>
      <c r="C970" s="740"/>
      <c r="G970" s="730"/>
    </row>
    <row r="971" spans="2:7" x14ac:dyDescent="0.25">
      <c r="B971" s="740"/>
      <c r="C971" s="740"/>
      <c r="G971" s="730"/>
    </row>
    <row r="972" spans="2:7" x14ac:dyDescent="0.25">
      <c r="B972" s="740"/>
      <c r="C972" s="740"/>
      <c r="G972" s="730"/>
    </row>
    <row r="973" spans="2:7" x14ac:dyDescent="0.25">
      <c r="B973" s="740"/>
      <c r="C973" s="740"/>
      <c r="G973" s="730"/>
    </row>
    <row r="974" spans="2:7" x14ac:dyDescent="0.25">
      <c r="B974" s="740"/>
      <c r="C974" s="740"/>
      <c r="G974" s="730"/>
    </row>
    <row r="975" spans="2:7" x14ac:dyDescent="0.25">
      <c r="B975" s="740"/>
      <c r="C975" s="740"/>
      <c r="G975" s="730"/>
    </row>
    <row r="976" spans="2:7" x14ac:dyDescent="0.25">
      <c r="B976" s="740"/>
      <c r="C976" s="740"/>
      <c r="G976" s="730"/>
    </row>
    <row r="977" spans="2:7" x14ac:dyDescent="0.25">
      <c r="B977" s="740"/>
      <c r="C977" s="740"/>
      <c r="G977" s="730"/>
    </row>
    <row r="978" spans="2:7" x14ac:dyDescent="0.25">
      <c r="B978" s="740"/>
      <c r="C978" s="740"/>
      <c r="G978" s="730"/>
    </row>
    <row r="979" spans="2:7" x14ac:dyDescent="0.25">
      <c r="B979" s="740"/>
      <c r="C979" s="740"/>
      <c r="G979" s="730"/>
    </row>
    <row r="980" spans="2:7" x14ac:dyDescent="0.25">
      <c r="B980" s="740"/>
      <c r="C980" s="740"/>
      <c r="G980" s="730"/>
    </row>
    <row r="981" spans="2:7" x14ac:dyDescent="0.25">
      <c r="B981" s="740"/>
      <c r="C981" s="740"/>
      <c r="G981" s="730"/>
    </row>
    <row r="982" spans="2:7" x14ac:dyDescent="0.25">
      <c r="B982" s="740"/>
      <c r="C982" s="740"/>
      <c r="G982" s="730"/>
    </row>
    <row r="983" spans="2:7" x14ac:dyDescent="0.25">
      <c r="B983" s="740"/>
      <c r="C983" s="740"/>
      <c r="G983" s="730"/>
    </row>
    <row r="984" spans="2:7" x14ac:dyDescent="0.25">
      <c r="B984" s="740"/>
      <c r="C984" s="740"/>
      <c r="G984" s="730"/>
    </row>
    <row r="985" spans="2:7" x14ac:dyDescent="0.25">
      <c r="B985" s="740"/>
      <c r="C985" s="740"/>
      <c r="G985" s="730"/>
    </row>
    <row r="986" spans="2:7" x14ac:dyDescent="0.25">
      <c r="B986" s="740"/>
      <c r="C986" s="740"/>
      <c r="G986" s="730"/>
    </row>
    <row r="987" spans="2:7" x14ac:dyDescent="0.25">
      <c r="B987" s="740"/>
      <c r="C987" s="740"/>
      <c r="G987" s="730"/>
    </row>
    <row r="988" spans="2:7" x14ac:dyDescent="0.25">
      <c r="B988" s="740"/>
      <c r="C988" s="740"/>
      <c r="G988" s="730"/>
    </row>
    <row r="989" spans="2:7" x14ac:dyDescent="0.25">
      <c r="B989" s="740"/>
      <c r="C989" s="740"/>
      <c r="G989" s="730"/>
    </row>
    <row r="990" spans="2:7" x14ac:dyDescent="0.25">
      <c r="B990" s="740"/>
      <c r="C990" s="740"/>
      <c r="G990" s="730"/>
    </row>
    <row r="991" spans="2:7" x14ac:dyDescent="0.25">
      <c r="B991" s="740"/>
      <c r="C991" s="740"/>
      <c r="G991" s="730"/>
    </row>
    <row r="992" spans="2:7" x14ac:dyDescent="0.25">
      <c r="G992" s="730"/>
    </row>
  </sheetData>
  <mergeCells count="8">
    <mergeCell ref="F243:G243"/>
    <mergeCell ref="H243:J243"/>
    <mergeCell ref="K243:O243"/>
    <mergeCell ref="F227:I227"/>
    <mergeCell ref="G229:I229"/>
    <mergeCell ref="F238:G238"/>
    <mergeCell ref="H238:J238"/>
    <mergeCell ref="K238:O238"/>
  </mergeCells>
  <pageMargins left="0.70866141732283472" right="0.70866141732283472" top="0.74803149606299213" bottom="0.74803149606299213" header="0.31496062992125984" footer="0.31496062992125984"/>
  <pageSetup scale="50" orientation="landscape" r:id="rId1"/>
  <headerFooter>
    <oddFooter>&amp;CPág. &amp;P - 10</oddFooter>
  </headerFooter>
  <rowBreaks count="10" manualBreakCount="10">
    <brk id="29" max="16383" man="1"/>
    <brk id="60" max="16383" man="1"/>
    <brk id="87" max="16383" man="1"/>
    <brk id="111" max="16383" man="1"/>
    <brk id="140" max="17" man="1"/>
    <brk id="166" max="16383" man="1"/>
    <brk id="193" max="16383" man="1"/>
    <brk id="210" max="16383" man="1"/>
    <brk id="223" max="16383" man="1"/>
    <brk id="246" max="16383" man="1"/>
  </rowBreaks>
  <ignoredErrors>
    <ignoredError sqref="H231:H232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4:H405"/>
  <sheetViews>
    <sheetView topLeftCell="A82" zoomScaleNormal="100" workbookViewId="0">
      <selection activeCell="K7" sqref="K7"/>
    </sheetView>
  </sheetViews>
  <sheetFormatPr baseColWidth="10" defaultRowHeight="15" x14ac:dyDescent="0.25"/>
  <cols>
    <col min="2" max="2" width="13.85546875" customWidth="1"/>
    <col min="3" max="3" width="13.7109375" customWidth="1"/>
    <col min="4" max="4" width="17.85546875" customWidth="1"/>
    <col min="5" max="5" width="14.5703125" customWidth="1"/>
    <col min="6" max="6" width="16.140625" customWidth="1"/>
    <col min="7" max="7" width="18.140625" customWidth="1"/>
    <col min="8" max="8" width="14.28515625" customWidth="1"/>
  </cols>
  <sheetData>
    <row r="4" spans="1:8" ht="28.5" x14ac:dyDescent="0.25">
      <c r="A4" s="401" t="s">
        <v>2</v>
      </c>
      <c r="B4" s="402" t="s">
        <v>3</v>
      </c>
      <c r="C4" s="403" t="s">
        <v>4</v>
      </c>
      <c r="D4" s="404" t="s">
        <v>5</v>
      </c>
      <c r="E4" s="403" t="s">
        <v>6</v>
      </c>
      <c r="F4" s="402" t="s">
        <v>7</v>
      </c>
      <c r="G4" s="405" t="s">
        <v>8</v>
      </c>
      <c r="H4" s="414" t="s">
        <v>9</v>
      </c>
    </row>
    <row r="5" spans="1:8" ht="51" x14ac:dyDescent="0.25">
      <c r="A5" s="427">
        <v>44622</v>
      </c>
      <c r="B5" s="408" t="s">
        <v>1730</v>
      </c>
      <c r="C5" s="408" t="s">
        <v>1731</v>
      </c>
      <c r="D5" s="423" t="s">
        <v>1732</v>
      </c>
      <c r="E5" s="408" t="s">
        <v>1733</v>
      </c>
      <c r="F5" s="408" t="s">
        <v>1734</v>
      </c>
      <c r="G5" s="424" t="s">
        <v>19</v>
      </c>
      <c r="H5" s="426">
        <v>194995.01</v>
      </c>
    </row>
    <row r="6" spans="1:8" ht="51" x14ac:dyDescent="0.25">
      <c r="A6" s="427">
        <v>44622</v>
      </c>
      <c r="B6" s="408" t="s">
        <v>1730</v>
      </c>
      <c r="C6" s="408" t="s">
        <v>1735</v>
      </c>
      <c r="D6" s="423" t="s">
        <v>1732</v>
      </c>
      <c r="E6" s="433" t="s">
        <v>1736</v>
      </c>
      <c r="F6" s="408" t="s">
        <v>1737</v>
      </c>
      <c r="G6" s="424" t="s">
        <v>19</v>
      </c>
      <c r="H6" s="426">
        <v>194995.01</v>
      </c>
    </row>
    <row r="7" spans="1:8" ht="38.25" x14ac:dyDescent="0.25">
      <c r="A7" s="427">
        <v>44622</v>
      </c>
      <c r="B7" s="408" t="s">
        <v>1730</v>
      </c>
      <c r="C7" s="408" t="s">
        <v>1738</v>
      </c>
      <c r="D7" s="423" t="s">
        <v>1739</v>
      </c>
      <c r="E7" s="408" t="s">
        <v>1740</v>
      </c>
      <c r="F7" s="408" t="s">
        <v>1741</v>
      </c>
      <c r="G7" s="424" t="s">
        <v>19</v>
      </c>
      <c r="H7" s="426">
        <v>100840.01</v>
      </c>
    </row>
    <row r="8" spans="1:8" ht="38.25" x14ac:dyDescent="0.25">
      <c r="A8" s="427">
        <v>44622</v>
      </c>
      <c r="B8" s="408" t="s">
        <v>1730</v>
      </c>
      <c r="C8" s="408" t="s">
        <v>1742</v>
      </c>
      <c r="D8" s="423" t="s">
        <v>1739</v>
      </c>
      <c r="E8" s="408" t="s">
        <v>1743</v>
      </c>
      <c r="F8" s="433" t="s">
        <v>1744</v>
      </c>
      <c r="G8" s="424" t="s">
        <v>19</v>
      </c>
      <c r="H8" s="426">
        <v>100840.01</v>
      </c>
    </row>
    <row r="9" spans="1:8" ht="38.25" x14ac:dyDescent="0.25">
      <c r="A9" s="427">
        <v>44622</v>
      </c>
      <c r="B9" s="408" t="s">
        <v>1730</v>
      </c>
      <c r="C9" s="408" t="s">
        <v>1745</v>
      </c>
      <c r="D9" s="423" t="s">
        <v>1746</v>
      </c>
      <c r="E9" s="408" t="s">
        <v>1747</v>
      </c>
      <c r="F9" s="408" t="s">
        <v>1748</v>
      </c>
      <c r="G9" s="424" t="s">
        <v>19</v>
      </c>
      <c r="H9" s="426">
        <v>54474.99</v>
      </c>
    </row>
    <row r="10" spans="1:8" ht="38.25" x14ac:dyDescent="0.25">
      <c r="A10" s="427">
        <v>44622</v>
      </c>
      <c r="B10" s="408" t="s">
        <v>1730</v>
      </c>
      <c r="C10" s="408" t="s">
        <v>1749</v>
      </c>
      <c r="D10" s="423" t="s">
        <v>1746</v>
      </c>
      <c r="E10" s="408" t="s">
        <v>1750</v>
      </c>
      <c r="F10" s="408" t="s">
        <v>1751</v>
      </c>
      <c r="G10" s="424" t="s">
        <v>19</v>
      </c>
      <c r="H10" s="426">
        <v>54474.99</v>
      </c>
    </row>
    <row r="11" spans="1:8" ht="38.25" x14ac:dyDescent="0.25">
      <c r="A11" s="427">
        <v>44622</v>
      </c>
      <c r="B11" s="408" t="s">
        <v>1730</v>
      </c>
      <c r="C11" s="408" t="s">
        <v>1752</v>
      </c>
      <c r="D11" s="423" t="s">
        <v>1746</v>
      </c>
      <c r="E11" s="408" t="s">
        <v>1753</v>
      </c>
      <c r="F11" s="408" t="s">
        <v>1754</v>
      </c>
      <c r="G11" s="424" t="s">
        <v>19</v>
      </c>
      <c r="H11" s="426">
        <v>54474.99</v>
      </c>
    </row>
    <row r="12" spans="1:8" ht="38.25" x14ac:dyDescent="0.25">
      <c r="A12" s="427">
        <v>44622</v>
      </c>
      <c r="B12" s="408" t="s">
        <v>1730</v>
      </c>
      <c r="C12" s="408" t="s">
        <v>1755</v>
      </c>
      <c r="D12" s="423" t="s">
        <v>1746</v>
      </c>
      <c r="E12" s="408" t="s">
        <v>1756</v>
      </c>
      <c r="F12" s="408" t="s">
        <v>1757</v>
      </c>
      <c r="G12" s="424" t="s">
        <v>19</v>
      </c>
      <c r="H12" s="426">
        <v>54474.99</v>
      </c>
    </row>
    <row r="13" spans="1:8" ht="38.25" x14ac:dyDescent="0.25">
      <c r="A13" s="492">
        <v>44631</v>
      </c>
      <c r="B13" s="493" t="s">
        <v>1730</v>
      </c>
      <c r="C13" s="493" t="s">
        <v>1758</v>
      </c>
      <c r="D13" s="494" t="s">
        <v>1759</v>
      </c>
      <c r="E13" s="493" t="s">
        <v>1760</v>
      </c>
      <c r="F13" s="493" t="s">
        <v>1761</v>
      </c>
      <c r="G13" s="495" t="s">
        <v>19</v>
      </c>
      <c r="H13" s="496">
        <v>179520.99</v>
      </c>
    </row>
    <row r="14" spans="1:8" ht="38.25" x14ac:dyDescent="0.25">
      <c r="A14" s="492">
        <v>44631</v>
      </c>
      <c r="B14" s="493" t="s">
        <v>1730</v>
      </c>
      <c r="C14" s="493" t="s">
        <v>1762</v>
      </c>
      <c r="D14" s="494" t="s">
        <v>1759</v>
      </c>
      <c r="E14" s="493" t="s">
        <v>1763</v>
      </c>
      <c r="F14" s="493" t="s">
        <v>1764</v>
      </c>
      <c r="G14" s="495" t="s">
        <v>19</v>
      </c>
      <c r="H14" s="496">
        <v>179520.99</v>
      </c>
    </row>
    <row r="15" spans="1:8" ht="51" x14ac:dyDescent="0.25">
      <c r="A15" s="427">
        <v>44631</v>
      </c>
      <c r="B15" s="408" t="s">
        <v>1765</v>
      </c>
      <c r="C15" s="408" t="s">
        <v>1766</v>
      </c>
      <c r="D15" s="423" t="s">
        <v>1759</v>
      </c>
      <c r="E15" s="408" t="s">
        <v>1767</v>
      </c>
      <c r="F15" s="408" t="s">
        <v>1768</v>
      </c>
      <c r="G15" s="424" t="s">
        <v>19</v>
      </c>
      <c r="H15" s="426">
        <v>179520.99</v>
      </c>
    </row>
    <row r="16" spans="1:8" ht="51" x14ac:dyDescent="0.25">
      <c r="A16" s="427">
        <v>44631</v>
      </c>
      <c r="B16" s="408" t="s">
        <v>1765</v>
      </c>
      <c r="C16" s="408" t="s">
        <v>1770</v>
      </c>
      <c r="D16" s="423" t="s">
        <v>1759</v>
      </c>
      <c r="E16" s="408" t="s">
        <v>1771</v>
      </c>
      <c r="F16" s="433" t="s">
        <v>1772</v>
      </c>
      <c r="G16" s="424" t="s">
        <v>19</v>
      </c>
      <c r="H16" s="426">
        <v>179520.99</v>
      </c>
    </row>
    <row r="17" spans="1:8" ht="38.25" x14ac:dyDescent="0.25">
      <c r="A17" s="427">
        <v>44631</v>
      </c>
      <c r="B17" s="408" t="s">
        <v>1765</v>
      </c>
      <c r="C17" s="408" t="s">
        <v>1773</v>
      </c>
      <c r="D17" s="423" t="s">
        <v>1759</v>
      </c>
      <c r="E17" s="408" t="s">
        <v>1774</v>
      </c>
      <c r="F17" s="408" t="s">
        <v>1775</v>
      </c>
      <c r="G17" s="424" t="s">
        <v>19</v>
      </c>
      <c r="H17" s="426">
        <v>179520.99</v>
      </c>
    </row>
    <row r="18" spans="1:8" ht="38.25" x14ac:dyDescent="0.25">
      <c r="A18" s="492">
        <v>44631</v>
      </c>
      <c r="B18" s="493" t="s">
        <v>1765</v>
      </c>
      <c r="C18" s="493" t="s">
        <v>1776</v>
      </c>
      <c r="D18" s="494" t="s">
        <v>1759</v>
      </c>
      <c r="E18" s="493" t="s">
        <v>1777</v>
      </c>
      <c r="F18" s="497" t="s">
        <v>1778</v>
      </c>
      <c r="G18" s="495" t="s">
        <v>19</v>
      </c>
      <c r="H18" s="496">
        <v>179520.99</v>
      </c>
    </row>
    <row r="19" spans="1:8" ht="51" x14ac:dyDescent="0.25">
      <c r="A19" s="427">
        <v>44631</v>
      </c>
      <c r="B19" s="408" t="s">
        <v>1765</v>
      </c>
      <c r="C19" s="408" t="s">
        <v>1779</v>
      </c>
      <c r="D19" s="423" t="s">
        <v>1759</v>
      </c>
      <c r="E19" s="408" t="s">
        <v>1780</v>
      </c>
      <c r="F19" s="408" t="s">
        <v>1781</v>
      </c>
      <c r="G19" s="424" t="s">
        <v>19</v>
      </c>
      <c r="H19" s="426">
        <v>179520.99</v>
      </c>
    </row>
    <row r="20" spans="1:8" ht="38.25" x14ac:dyDescent="0.25">
      <c r="A20" s="427">
        <v>44631</v>
      </c>
      <c r="B20" s="408" t="s">
        <v>1765</v>
      </c>
      <c r="C20" s="408" t="s">
        <v>1782</v>
      </c>
      <c r="D20" s="423" t="s">
        <v>1759</v>
      </c>
      <c r="E20" s="408" t="s">
        <v>1783</v>
      </c>
      <c r="F20" s="408" t="s">
        <v>1784</v>
      </c>
      <c r="G20" s="424" t="s">
        <v>19</v>
      </c>
      <c r="H20" s="426">
        <v>179520.99</v>
      </c>
    </row>
    <row r="21" spans="1:8" ht="38.25" x14ac:dyDescent="0.25">
      <c r="A21" s="427">
        <v>44631</v>
      </c>
      <c r="B21" s="408" t="s">
        <v>1765</v>
      </c>
      <c r="C21" s="408" t="s">
        <v>1785</v>
      </c>
      <c r="D21" s="423" t="s">
        <v>1759</v>
      </c>
      <c r="E21" s="408" t="s">
        <v>1786</v>
      </c>
      <c r="F21" s="408" t="s">
        <v>1787</v>
      </c>
      <c r="G21" s="424" t="s">
        <v>19</v>
      </c>
      <c r="H21" s="426">
        <v>179520.99</v>
      </c>
    </row>
    <row r="22" spans="1:8" ht="38.25" x14ac:dyDescent="0.25">
      <c r="A22" s="427">
        <v>44631</v>
      </c>
      <c r="B22" s="408" t="s">
        <v>1765</v>
      </c>
      <c r="C22" s="408" t="s">
        <v>1788</v>
      </c>
      <c r="D22" s="423" t="s">
        <v>1759</v>
      </c>
      <c r="E22" s="408" t="s">
        <v>1789</v>
      </c>
      <c r="F22" s="408" t="s">
        <v>1790</v>
      </c>
      <c r="G22" s="424" t="s">
        <v>19</v>
      </c>
      <c r="H22" s="426">
        <v>179520.99</v>
      </c>
    </row>
    <row r="23" spans="1:8" ht="63.75" x14ac:dyDescent="0.25">
      <c r="A23" s="427">
        <v>44631</v>
      </c>
      <c r="B23" s="408" t="s">
        <v>1765</v>
      </c>
      <c r="C23" s="408" t="s">
        <v>1791</v>
      </c>
      <c r="D23" s="423" t="s">
        <v>1759</v>
      </c>
      <c r="E23" s="408" t="s">
        <v>1792</v>
      </c>
      <c r="F23" s="408" t="s">
        <v>1793</v>
      </c>
      <c r="G23" s="424" t="s">
        <v>19</v>
      </c>
      <c r="H23" s="426">
        <v>179520.99</v>
      </c>
    </row>
    <row r="24" spans="1:8" ht="76.5" x14ac:dyDescent="0.25">
      <c r="A24" s="498">
        <v>44812</v>
      </c>
      <c r="B24" s="499" t="s">
        <v>1794</v>
      </c>
      <c r="C24" s="499" t="s">
        <v>1795</v>
      </c>
      <c r="D24" s="500" t="s">
        <v>1796</v>
      </c>
      <c r="E24" s="499" t="s">
        <v>1797</v>
      </c>
      <c r="F24" s="499" t="s">
        <v>1798</v>
      </c>
      <c r="G24" s="501" t="s">
        <v>1596</v>
      </c>
      <c r="H24" s="502">
        <v>66039.88</v>
      </c>
    </row>
    <row r="25" spans="1:8" ht="76.5" x14ac:dyDescent="0.25">
      <c r="A25" s="498">
        <v>44812</v>
      </c>
      <c r="B25" s="499" t="s">
        <v>1794</v>
      </c>
      <c r="C25" s="499" t="s">
        <v>1799</v>
      </c>
      <c r="D25" s="500" t="s">
        <v>1800</v>
      </c>
      <c r="E25" s="499" t="s">
        <v>1801</v>
      </c>
      <c r="F25" s="499" t="s">
        <v>1798</v>
      </c>
      <c r="G25" s="501" t="s">
        <v>1596</v>
      </c>
      <c r="H25" s="502">
        <v>66039.88</v>
      </c>
    </row>
    <row r="26" spans="1:8" ht="76.5" x14ac:dyDescent="0.25">
      <c r="A26" s="498">
        <v>44812</v>
      </c>
      <c r="B26" s="499" t="s">
        <v>1794</v>
      </c>
      <c r="C26" s="499" t="s">
        <v>1802</v>
      </c>
      <c r="D26" s="500" t="s">
        <v>1800</v>
      </c>
      <c r="E26" s="499" t="s">
        <v>1803</v>
      </c>
      <c r="F26" s="499" t="s">
        <v>1798</v>
      </c>
      <c r="G26" s="501" t="s">
        <v>1596</v>
      </c>
      <c r="H26" s="502">
        <v>66039.88</v>
      </c>
    </row>
    <row r="27" spans="1:8" ht="76.5" x14ac:dyDescent="0.25">
      <c r="A27" s="498">
        <v>44812</v>
      </c>
      <c r="B27" s="499" t="s">
        <v>1794</v>
      </c>
      <c r="C27" s="499" t="s">
        <v>1804</v>
      </c>
      <c r="D27" s="500" t="s">
        <v>1800</v>
      </c>
      <c r="E27" s="499" t="s">
        <v>1805</v>
      </c>
      <c r="F27" s="499" t="s">
        <v>1798</v>
      </c>
      <c r="G27" s="501" t="s">
        <v>1596</v>
      </c>
      <c r="H27" s="502">
        <v>66039.88</v>
      </c>
    </row>
    <row r="28" spans="1:8" ht="76.5" x14ac:dyDescent="0.25">
      <c r="A28" s="498">
        <v>44812</v>
      </c>
      <c r="B28" s="499" t="s">
        <v>1794</v>
      </c>
      <c r="C28" s="499" t="s">
        <v>1806</v>
      </c>
      <c r="D28" s="500" t="s">
        <v>1800</v>
      </c>
      <c r="E28" s="499" t="s">
        <v>1807</v>
      </c>
      <c r="F28" s="499" t="s">
        <v>1798</v>
      </c>
      <c r="G28" s="501" t="s">
        <v>1596</v>
      </c>
      <c r="H28" s="502">
        <v>66039.88</v>
      </c>
    </row>
    <row r="29" spans="1:8" ht="76.5" x14ac:dyDescent="0.25">
      <c r="A29" s="498">
        <v>44812</v>
      </c>
      <c r="B29" s="499" t="s">
        <v>1794</v>
      </c>
      <c r="C29" s="499" t="s">
        <v>1808</v>
      </c>
      <c r="D29" s="500" t="s">
        <v>1800</v>
      </c>
      <c r="E29" s="499" t="s">
        <v>1809</v>
      </c>
      <c r="F29" s="499" t="s">
        <v>1798</v>
      </c>
      <c r="G29" s="501" t="s">
        <v>1596</v>
      </c>
      <c r="H29" s="502">
        <v>66039.88</v>
      </c>
    </row>
    <row r="30" spans="1:8" ht="76.5" x14ac:dyDescent="0.25">
      <c r="A30" s="498">
        <v>44812</v>
      </c>
      <c r="B30" s="499" t="s">
        <v>1794</v>
      </c>
      <c r="C30" s="499" t="s">
        <v>1810</v>
      </c>
      <c r="D30" s="500" t="s">
        <v>1800</v>
      </c>
      <c r="E30" s="499" t="s">
        <v>1811</v>
      </c>
      <c r="F30" s="499" t="s">
        <v>1798</v>
      </c>
      <c r="G30" s="501" t="s">
        <v>1596</v>
      </c>
      <c r="H30" s="502">
        <v>66039.88</v>
      </c>
    </row>
    <row r="31" spans="1:8" ht="76.5" x14ac:dyDescent="0.25">
      <c r="A31" s="498">
        <v>44812</v>
      </c>
      <c r="B31" s="499" t="s">
        <v>1794</v>
      </c>
      <c r="C31" s="499" t="s">
        <v>1812</v>
      </c>
      <c r="D31" s="500" t="s">
        <v>1800</v>
      </c>
      <c r="E31" s="499" t="s">
        <v>1813</v>
      </c>
      <c r="F31" s="499" t="s">
        <v>1798</v>
      </c>
      <c r="G31" s="501" t="s">
        <v>1596</v>
      </c>
      <c r="H31" s="502">
        <v>66039.88</v>
      </c>
    </row>
    <row r="32" spans="1:8" ht="76.5" x14ac:dyDescent="0.25">
      <c r="A32" s="498">
        <v>44812</v>
      </c>
      <c r="B32" s="499" t="s">
        <v>1794</v>
      </c>
      <c r="C32" s="499" t="s">
        <v>1814</v>
      </c>
      <c r="D32" s="500" t="s">
        <v>1800</v>
      </c>
      <c r="E32" s="499" t="s">
        <v>1815</v>
      </c>
      <c r="F32" s="499" t="s">
        <v>1798</v>
      </c>
      <c r="G32" s="501" t="s">
        <v>1596</v>
      </c>
      <c r="H32" s="502">
        <v>66039.88</v>
      </c>
    </row>
    <row r="33" spans="1:8" ht="76.5" x14ac:dyDescent="0.25">
      <c r="A33" s="498">
        <v>44812</v>
      </c>
      <c r="B33" s="499" t="s">
        <v>1794</v>
      </c>
      <c r="C33" s="499" t="s">
        <v>1816</v>
      </c>
      <c r="D33" s="500" t="s">
        <v>1800</v>
      </c>
      <c r="E33" s="499" t="s">
        <v>1817</v>
      </c>
      <c r="F33" s="499" t="s">
        <v>1798</v>
      </c>
      <c r="G33" s="501" t="s">
        <v>1596</v>
      </c>
      <c r="H33" s="502">
        <v>66039.88</v>
      </c>
    </row>
    <row r="34" spans="1:8" ht="76.5" x14ac:dyDescent="0.25">
      <c r="A34" s="498">
        <v>44812</v>
      </c>
      <c r="B34" s="499" t="s">
        <v>1794</v>
      </c>
      <c r="C34" s="499" t="s">
        <v>1818</v>
      </c>
      <c r="D34" s="500" t="s">
        <v>1800</v>
      </c>
      <c r="E34" s="499" t="s">
        <v>1819</v>
      </c>
      <c r="F34" s="499" t="s">
        <v>1798</v>
      </c>
      <c r="G34" s="501" t="s">
        <v>1596</v>
      </c>
      <c r="H34" s="502">
        <v>66039.88</v>
      </c>
    </row>
    <row r="35" spans="1:8" ht="76.5" x14ac:dyDescent="0.25">
      <c r="A35" s="498">
        <v>44812</v>
      </c>
      <c r="B35" s="499" t="s">
        <v>1794</v>
      </c>
      <c r="C35" s="499" t="s">
        <v>1820</v>
      </c>
      <c r="D35" s="500" t="s">
        <v>1800</v>
      </c>
      <c r="E35" s="499" t="s">
        <v>1821</v>
      </c>
      <c r="F35" s="499" t="s">
        <v>1798</v>
      </c>
      <c r="G35" s="501" t="s">
        <v>1596</v>
      </c>
      <c r="H35" s="502">
        <v>66039.88</v>
      </c>
    </row>
    <row r="36" spans="1:8" ht="76.5" x14ac:dyDescent="0.25">
      <c r="A36" s="498">
        <v>44812</v>
      </c>
      <c r="B36" s="499" t="s">
        <v>1794</v>
      </c>
      <c r="C36" s="499" t="s">
        <v>1822</v>
      </c>
      <c r="D36" s="500" t="s">
        <v>1800</v>
      </c>
      <c r="E36" s="499" t="s">
        <v>1823</v>
      </c>
      <c r="F36" s="499" t="s">
        <v>1798</v>
      </c>
      <c r="G36" s="501" t="s">
        <v>1596</v>
      </c>
      <c r="H36" s="502">
        <v>66039.88</v>
      </c>
    </row>
    <row r="37" spans="1:8" ht="76.5" x14ac:dyDescent="0.25">
      <c r="A37" s="498">
        <v>44812</v>
      </c>
      <c r="B37" s="499" t="s">
        <v>1794</v>
      </c>
      <c r="C37" s="499" t="s">
        <v>1824</v>
      </c>
      <c r="D37" s="500" t="s">
        <v>1800</v>
      </c>
      <c r="E37" s="499" t="s">
        <v>1825</v>
      </c>
      <c r="F37" s="499" t="s">
        <v>1798</v>
      </c>
      <c r="G37" s="501" t="s">
        <v>1596</v>
      </c>
      <c r="H37" s="502">
        <v>66039.88</v>
      </c>
    </row>
    <row r="38" spans="1:8" ht="76.5" x14ac:dyDescent="0.25">
      <c r="A38" s="498">
        <v>44812</v>
      </c>
      <c r="B38" s="499" t="s">
        <v>1794</v>
      </c>
      <c r="C38" s="499" t="s">
        <v>1826</v>
      </c>
      <c r="D38" s="500" t="s">
        <v>1800</v>
      </c>
      <c r="E38" s="499" t="s">
        <v>1827</v>
      </c>
      <c r="F38" s="499" t="s">
        <v>1798</v>
      </c>
      <c r="G38" s="501" t="s">
        <v>1596</v>
      </c>
      <c r="H38" s="502">
        <v>66039.88</v>
      </c>
    </row>
    <row r="39" spans="1:8" ht="76.5" x14ac:dyDescent="0.25">
      <c r="A39" s="498">
        <v>44812</v>
      </c>
      <c r="B39" s="499" t="s">
        <v>1794</v>
      </c>
      <c r="C39" s="499" t="s">
        <v>1828</v>
      </c>
      <c r="D39" s="500" t="s">
        <v>1800</v>
      </c>
      <c r="E39" s="499" t="s">
        <v>1829</v>
      </c>
      <c r="F39" s="499" t="s">
        <v>1798</v>
      </c>
      <c r="G39" s="501" t="s">
        <v>1596</v>
      </c>
      <c r="H39" s="502">
        <v>66039.88</v>
      </c>
    </row>
    <row r="40" spans="1:8" ht="76.5" x14ac:dyDescent="0.25">
      <c r="A40" s="498">
        <v>44812</v>
      </c>
      <c r="B40" s="499" t="s">
        <v>1794</v>
      </c>
      <c r="C40" s="499" t="s">
        <v>1830</v>
      </c>
      <c r="D40" s="500" t="s">
        <v>1800</v>
      </c>
      <c r="E40" s="499" t="s">
        <v>1831</v>
      </c>
      <c r="F40" s="499" t="s">
        <v>1798</v>
      </c>
      <c r="G40" s="501" t="s">
        <v>1596</v>
      </c>
      <c r="H40" s="502">
        <v>66039.88</v>
      </c>
    </row>
    <row r="41" spans="1:8" ht="76.5" x14ac:dyDescent="0.25">
      <c r="A41" s="498">
        <v>44812</v>
      </c>
      <c r="B41" s="499" t="s">
        <v>1794</v>
      </c>
      <c r="C41" s="499" t="s">
        <v>1832</v>
      </c>
      <c r="D41" s="500" t="s">
        <v>1800</v>
      </c>
      <c r="E41" s="499" t="s">
        <v>1833</v>
      </c>
      <c r="F41" s="499" t="s">
        <v>1798</v>
      </c>
      <c r="G41" s="501" t="s">
        <v>1596</v>
      </c>
      <c r="H41" s="502">
        <v>66039.88</v>
      </c>
    </row>
    <row r="42" spans="1:8" ht="76.5" x14ac:dyDescent="0.25">
      <c r="A42" s="498">
        <v>44812</v>
      </c>
      <c r="B42" s="499" t="s">
        <v>1794</v>
      </c>
      <c r="C42" s="499" t="s">
        <v>1834</v>
      </c>
      <c r="D42" s="500" t="s">
        <v>1800</v>
      </c>
      <c r="E42" s="499" t="s">
        <v>1835</v>
      </c>
      <c r="F42" s="499" t="s">
        <v>1798</v>
      </c>
      <c r="G42" s="501" t="s">
        <v>1596</v>
      </c>
      <c r="H42" s="502">
        <v>66039.88</v>
      </c>
    </row>
    <row r="43" spans="1:8" ht="76.5" x14ac:dyDescent="0.25">
      <c r="A43" s="498">
        <v>44812</v>
      </c>
      <c r="B43" s="499" t="s">
        <v>1794</v>
      </c>
      <c r="C43" s="499" t="s">
        <v>1836</v>
      </c>
      <c r="D43" s="500" t="s">
        <v>1837</v>
      </c>
      <c r="E43" s="499" t="s">
        <v>1838</v>
      </c>
      <c r="F43" s="499" t="s">
        <v>1798</v>
      </c>
      <c r="G43" s="501" t="s">
        <v>1596</v>
      </c>
      <c r="H43" s="502">
        <v>4498.16</v>
      </c>
    </row>
    <row r="44" spans="1:8" ht="76.5" x14ac:dyDescent="0.25">
      <c r="A44" s="498">
        <v>44812</v>
      </c>
      <c r="B44" s="499" t="s">
        <v>1794</v>
      </c>
      <c r="C44" s="499" t="s">
        <v>1839</v>
      </c>
      <c r="D44" s="500" t="s">
        <v>1837</v>
      </c>
      <c r="E44" s="499" t="s">
        <v>1840</v>
      </c>
      <c r="F44" s="499" t="s">
        <v>1798</v>
      </c>
      <c r="G44" s="501" t="s">
        <v>1596</v>
      </c>
      <c r="H44" s="502">
        <v>4498.16</v>
      </c>
    </row>
    <row r="45" spans="1:8" ht="76.5" x14ac:dyDescent="0.25">
      <c r="A45" s="498">
        <v>44812</v>
      </c>
      <c r="B45" s="499" t="s">
        <v>1794</v>
      </c>
      <c r="C45" s="499" t="s">
        <v>1841</v>
      </c>
      <c r="D45" s="500" t="s">
        <v>1837</v>
      </c>
      <c r="E45" s="499" t="s">
        <v>1842</v>
      </c>
      <c r="F45" s="499" t="s">
        <v>1798</v>
      </c>
      <c r="G45" s="501" t="s">
        <v>1596</v>
      </c>
      <c r="H45" s="502">
        <v>4498.16</v>
      </c>
    </row>
    <row r="46" spans="1:8" ht="76.5" x14ac:dyDescent="0.25">
      <c r="A46" s="498">
        <v>44812</v>
      </c>
      <c r="B46" s="499" t="s">
        <v>1794</v>
      </c>
      <c r="C46" s="499" t="s">
        <v>1843</v>
      </c>
      <c r="D46" s="500" t="s">
        <v>1837</v>
      </c>
      <c r="E46" s="499" t="s">
        <v>1844</v>
      </c>
      <c r="F46" s="499" t="s">
        <v>1798</v>
      </c>
      <c r="G46" s="501" t="s">
        <v>1596</v>
      </c>
      <c r="H46" s="502">
        <v>4498.16</v>
      </c>
    </row>
    <row r="47" spans="1:8" ht="76.5" x14ac:dyDescent="0.25">
      <c r="A47" s="498">
        <v>44812</v>
      </c>
      <c r="B47" s="499" t="s">
        <v>1794</v>
      </c>
      <c r="C47" s="499" t="s">
        <v>1845</v>
      </c>
      <c r="D47" s="500" t="s">
        <v>1837</v>
      </c>
      <c r="E47" s="499" t="s">
        <v>1846</v>
      </c>
      <c r="F47" s="499" t="s">
        <v>1798</v>
      </c>
      <c r="G47" s="501" t="s">
        <v>1596</v>
      </c>
      <c r="H47" s="502">
        <v>4498.16</v>
      </c>
    </row>
    <row r="48" spans="1:8" ht="76.5" x14ac:dyDescent="0.25">
      <c r="A48" s="498">
        <v>44812</v>
      </c>
      <c r="B48" s="499" t="s">
        <v>1794</v>
      </c>
      <c r="C48" s="499" t="s">
        <v>1847</v>
      </c>
      <c r="D48" s="500" t="s">
        <v>1837</v>
      </c>
      <c r="E48" s="499" t="s">
        <v>1848</v>
      </c>
      <c r="F48" s="499" t="s">
        <v>1798</v>
      </c>
      <c r="G48" s="501" t="s">
        <v>1596</v>
      </c>
      <c r="H48" s="502">
        <v>4498.16</v>
      </c>
    </row>
    <row r="49" spans="1:8" ht="76.5" x14ac:dyDescent="0.25">
      <c r="A49" s="498">
        <v>44812</v>
      </c>
      <c r="B49" s="499" t="s">
        <v>1794</v>
      </c>
      <c r="C49" s="499" t="s">
        <v>1849</v>
      </c>
      <c r="D49" s="500" t="s">
        <v>1837</v>
      </c>
      <c r="E49" s="499" t="s">
        <v>1850</v>
      </c>
      <c r="F49" s="499" t="s">
        <v>1798</v>
      </c>
      <c r="G49" s="501" t="s">
        <v>1596</v>
      </c>
      <c r="H49" s="502">
        <v>4498.16</v>
      </c>
    </row>
    <row r="50" spans="1:8" ht="76.5" x14ac:dyDescent="0.25">
      <c r="A50" s="498">
        <v>44812</v>
      </c>
      <c r="B50" s="499" t="s">
        <v>1794</v>
      </c>
      <c r="C50" s="499" t="s">
        <v>1851</v>
      </c>
      <c r="D50" s="500" t="s">
        <v>1837</v>
      </c>
      <c r="E50" s="499" t="s">
        <v>1852</v>
      </c>
      <c r="F50" s="499" t="s">
        <v>1798</v>
      </c>
      <c r="G50" s="501" t="s">
        <v>1596</v>
      </c>
      <c r="H50" s="502">
        <v>4498.16</v>
      </c>
    </row>
    <row r="51" spans="1:8" ht="76.5" x14ac:dyDescent="0.25">
      <c r="A51" s="498">
        <v>44812</v>
      </c>
      <c r="B51" s="499" t="s">
        <v>1794</v>
      </c>
      <c r="C51" s="499" t="s">
        <v>1853</v>
      </c>
      <c r="D51" s="500" t="s">
        <v>1837</v>
      </c>
      <c r="E51" s="499" t="s">
        <v>1854</v>
      </c>
      <c r="F51" s="499" t="s">
        <v>1798</v>
      </c>
      <c r="G51" s="501" t="s">
        <v>1596</v>
      </c>
      <c r="H51" s="502">
        <v>4498.16</v>
      </c>
    </row>
    <row r="52" spans="1:8" ht="76.5" x14ac:dyDescent="0.25">
      <c r="A52" s="498">
        <v>44812</v>
      </c>
      <c r="B52" s="499" t="s">
        <v>1794</v>
      </c>
      <c r="C52" s="499" t="s">
        <v>1855</v>
      </c>
      <c r="D52" s="500" t="s">
        <v>1837</v>
      </c>
      <c r="E52" s="499" t="s">
        <v>1856</v>
      </c>
      <c r="F52" s="499" t="s">
        <v>1798</v>
      </c>
      <c r="G52" s="501" t="s">
        <v>1596</v>
      </c>
      <c r="H52" s="502">
        <v>4498.16</v>
      </c>
    </row>
    <row r="53" spans="1:8" ht="76.5" x14ac:dyDescent="0.25">
      <c r="A53" s="498">
        <v>44812</v>
      </c>
      <c r="B53" s="499" t="s">
        <v>1794</v>
      </c>
      <c r="C53" s="499" t="s">
        <v>1857</v>
      </c>
      <c r="D53" s="500" t="s">
        <v>1837</v>
      </c>
      <c r="E53" s="499" t="s">
        <v>1858</v>
      </c>
      <c r="F53" s="499" t="s">
        <v>1798</v>
      </c>
      <c r="G53" s="501" t="s">
        <v>1596</v>
      </c>
      <c r="H53" s="502">
        <v>4498.16</v>
      </c>
    </row>
    <row r="54" spans="1:8" ht="76.5" x14ac:dyDescent="0.25">
      <c r="A54" s="498">
        <v>44812</v>
      </c>
      <c r="B54" s="499" t="s">
        <v>1794</v>
      </c>
      <c r="C54" s="499" t="s">
        <v>1859</v>
      </c>
      <c r="D54" s="500" t="s">
        <v>1837</v>
      </c>
      <c r="E54" s="499" t="s">
        <v>1860</v>
      </c>
      <c r="F54" s="499" t="s">
        <v>1798</v>
      </c>
      <c r="G54" s="501" t="s">
        <v>1596</v>
      </c>
      <c r="H54" s="502">
        <v>4498.16</v>
      </c>
    </row>
    <row r="55" spans="1:8" ht="76.5" x14ac:dyDescent="0.25">
      <c r="A55" s="498">
        <v>44812</v>
      </c>
      <c r="B55" s="499" t="s">
        <v>1794</v>
      </c>
      <c r="C55" s="499" t="s">
        <v>1861</v>
      </c>
      <c r="D55" s="500" t="s">
        <v>1837</v>
      </c>
      <c r="E55" s="499" t="s">
        <v>1862</v>
      </c>
      <c r="F55" s="499" t="s">
        <v>1798</v>
      </c>
      <c r="G55" s="501" t="s">
        <v>1596</v>
      </c>
      <c r="H55" s="502">
        <v>4498.16</v>
      </c>
    </row>
    <row r="56" spans="1:8" ht="76.5" x14ac:dyDescent="0.25">
      <c r="A56" s="498">
        <v>44812</v>
      </c>
      <c r="B56" s="499" t="s">
        <v>1794</v>
      </c>
      <c r="C56" s="499" t="s">
        <v>1863</v>
      </c>
      <c r="D56" s="500" t="s">
        <v>1837</v>
      </c>
      <c r="E56" s="499" t="s">
        <v>1864</v>
      </c>
      <c r="F56" s="499" t="s">
        <v>1798</v>
      </c>
      <c r="G56" s="501" t="s">
        <v>1596</v>
      </c>
      <c r="H56" s="502">
        <v>4498.16</v>
      </c>
    </row>
    <row r="57" spans="1:8" ht="76.5" x14ac:dyDescent="0.25">
      <c r="A57" s="498">
        <v>44812</v>
      </c>
      <c r="B57" s="499" t="s">
        <v>1794</v>
      </c>
      <c r="C57" s="499" t="s">
        <v>1865</v>
      </c>
      <c r="D57" s="500" t="s">
        <v>1837</v>
      </c>
      <c r="E57" s="499" t="s">
        <v>1866</v>
      </c>
      <c r="F57" s="499" t="s">
        <v>1798</v>
      </c>
      <c r="G57" s="501" t="s">
        <v>1596</v>
      </c>
      <c r="H57" s="502">
        <v>4498.16</v>
      </c>
    </row>
    <row r="58" spans="1:8" ht="76.5" x14ac:dyDescent="0.25">
      <c r="A58" s="498">
        <v>44812</v>
      </c>
      <c r="B58" s="499" t="s">
        <v>1794</v>
      </c>
      <c r="C58" s="499" t="s">
        <v>1867</v>
      </c>
      <c r="D58" s="500" t="s">
        <v>1837</v>
      </c>
      <c r="E58" s="499" t="s">
        <v>1868</v>
      </c>
      <c r="F58" s="499" t="s">
        <v>1798</v>
      </c>
      <c r="G58" s="501" t="s">
        <v>1596</v>
      </c>
      <c r="H58" s="502">
        <v>4498.16</v>
      </c>
    </row>
    <row r="59" spans="1:8" ht="76.5" x14ac:dyDescent="0.25">
      <c r="A59" s="498">
        <v>44812</v>
      </c>
      <c r="B59" s="499" t="s">
        <v>1794</v>
      </c>
      <c r="C59" s="499" t="s">
        <v>1869</v>
      </c>
      <c r="D59" s="500" t="s">
        <v>1837</v>
      </c>
      <c r="E59" s="499" t="s">
        <v>1870</v>
      </c>
      <c r="F59" s="499" t="s">
        <v>1798</v>
      </c>
      <c r="G59" s="501" t="s">
        <v>1596</v>
      </c>
      <c r="H59" s="502">
        <v>4498.16</v>
      </c>
    </row>
    <row r="60" spans="1:8" ht="76.5" x14ac:dyDescent="0.25">
      <c r="A60" s="498">
        <v>44812</v>
      </c>
      <c r="B60" s="499" t="s">
        <v>1794</v>
      </c>
      <c r="C60" s="499" t="s">
        <v>1871</v>
      </c>
      <c r="D60" s="500" t="s">
        <v>1837</v>
      </c>
      <c r="E60" s="499" t="s">
        <v>1872</v>
      </c>
      <c r="F60" s="499" t="s">
        <v>1798</v>
      </c>
      <c r="G60" s="501" t="s">
        <v>1596</v>
      </c>
      <c r="H60" s="502">
        <v>4498.16</v>
      </c>
    </row>
    <row r="61" spans="1:8" ht="76.5" x14ac:dyDescent="0.25">
      <c r="A61" s="498">
        <v>44812</v>
      </c>
      <c r="B61" s="499" t="s">
        <v>1794</v>
      </c>
      <c r="C61" s="499" t="s">
        <v>1873</v>
      </c>
      <c r="D61" s="500" t="s">
        <v>1837</v>
      </c>
      <c r="E61" s="499" t="s">
        <v>1874</v>
      </c>
      <c r="F61" s="499" t="s">
        <v>1798</v>
      </c>
      <c r="G61" s="501" t="s">
        <v>1596</v>
      </c>
      <c r="H61" s="502">
        <v>4498.16</v>
      </c>
    </row>
    <row r="62" spans="1:8" ht="76.5" x14ac:dyDescent="0.25">
      <c r="A62" s="435">
        <v>44841</v>
      </c>
      <c r="B62" s="419" t="s">
        <v>1875</v>
      </c>
      <c r="C62" s="419" t="s">
        <v>1876</v>
      </c>
      <c r="D62" s="429" t="s">
        <v>1877</v>
      </c>
      <c r="E62" s="419" t="s">
        <v>1878</v>
      </c>
      <c r="F62" s="419" t="s">
        <v>1798</v>
      </c>
      <c r="G62" s="428" t="s">
        <v>1596</v>
      </c>
      <c r="H62" s="430">
        <v>14075.63</v>
      </c>
    </row>
    <row r="63" spans="1:8" ht="76.5" x14ac:dyDescent="0.25">
      <c r="A63" s="435">
        <v>44841</v>
      </c>
      <c r="B63" s="419" t="s">
        <v>1875</v>
      </c>
      <c r="C63" s="419" t="s">
        <v>1879</v>
      </c>
      <c r="D63" s="429" t="s">
        <v>1877</v>
      </c>
      <c r="E63" s="419" t="s">
        <v>1880</v>
      </c>
      <c r="F63" s="419" t="s">
        <v>1798</v>
      </c>
      <c r="G63" s="428" t="s">
        <v>1596</v>
      </c>
      <c r="H63" s="430">
        <v>14075.63</v>
      </c>
    </row>
    <row r="64" spans="1:8" ht="76.5" x14ac:dyDescent="0.25">
      <c r="A64" s="435">
        <v>44841</v>
      </c>
      <c r="B64" s="419" t="s">
        <v>1875</v>
      </c>
      <c r="C64" s="419" t="s">
        <v>1881</v>
      </c>
      <c r="D64" s="429" t="s">
        <v>1877</v>
      </c>
      <c r="E64" s="419" t="s">
        <v>1882</v>
      </c>
      <c r="F64" s="419" t="s">
        <v>1798</v>
      </c>
      <c r="G64" s="428" t="s">
        <v>1596</v>
      </c>
      <c r="H64" s="430">
        <v>14075.63</v>
      </c>
    </row>
    <row r="65" spans="1:8" ht="76.5" x14ac:dyDescent="0.25">
      <c r="A65" s="435">
        <v>44841</v>
      </c>
      <c r="B65" s="419" t="s">
        <v>1875</v>
      </c>
      <c r="C65" s="419" t="s">
        <v>1883</v>
      </c>
      <c r="D65" s="429" t="s">
        <v>1877</v>
      </c>
      <c r="E65" s="419" t="s">
        <v>1884</v>
      </c>
      <c r="F65" s="419" t="s">
        <v>1798</v>
      </c>
      <c r="G65" s="428" t="s">
        <v>1596</v>
      </c>
      <c r="H65" s="430">
        <v>14075.63</v>
      </c>
    </row>
    <row r="66" spans="1:8" ht="76.5" x14ac:dyDescent="0.25">
      <c r="A66" s="435">
        <v>44841</v>
      </c>
      <c r="B66" s="419" t="s">
        <v>1875</v>
      </c>
      <c r="C66" s="419" t="s">
        <v>1885</v>
      </c>
      <c r="D66" s="429" t="s">
        <v>1877</v>
      </c>
      <c r="E66" s="419" t="s">
        <v>1886</v>
      </c>
      <c r="F66" s="419" t="s">
        <v>1798</v>
      </c>
      <c r="G66" s="428" t="s">
        <v>1596</v>
      </c>
      <c r="H66" s="430">
        <v>14075.63</v>
      </c>
    </row>
    <row r="67" spans="1:8" ht="76.5" x14ac:dyDescent="0.25">
      <c r="A67" s="435">
        <v>44841</v>
      </c>
      <c r="B67" s="419" t="s">
        <v>1875</v>
      </c>
      <c r="C67" s="419" t="s">
        <v>1887</v>
      </c>
      <c r="D67" s="429" t="s">
        <v>1877</v>
      </c>
      <c r="E67" s="419" t="s">
        <v>1888</v>
      </c>
      <c r="F67" s="419" t="s">
        <v>1798</v>
      </c>
      <c r="G67" s="428" t="s">
        <v>1596</v>
      </c>
      <c r="H67" s="430">
        <v>14075.63</v>
      </c>
    </row>
    <row r="68" spans="1:8" ht="76.5" x14ac:dyDescent="0.25">
      <c r="A68" s="435">
        <v>44841</v>
      </c>
      <c r="B68" s="419" t="s">
        <v>1875</v>
      </c>
      <c r="C68" s="419" t="s">
        <v>1889</v>
      </c>
      <c r="D68" s="429" t="s">
        <v>1877</v>
      </c>
      <c r="E68" s="419" t="s">
        <v>1890</v>
      </c>
      <c r="F68" s="419" t="s">
        <v>1798</v>
      </c>
      <c r="G68" s="428" t="s">
        <v>1596</v>
      </c>
      <c r="H68" s="430">
        <v>14075.63</v>
      </c>
    </row>
    <row r="69" spans="1:8" ht="76.5" x14ac:dyDescent="0.25">
      <c r="A69" s="435">
        <v>44841</v>
      </c>
      <c r="B69" s="419" t="s">
        <v>1875</v>
      </c>
      <c r="C69" s="419" t="s">
        <v>1891</v>
      </c>
      <c r="D69" s="429" t="s">
        <v>1877</v>
      </c>
      <c r="E69" s="419" t="s">
        <v>1892</v>
      </c>
      <c r="F69" s="419" t="s">
        <v>1798</v>
      </c>
      <c r="G69" s="428" t="s">
        <v>1596</v>
      </c>
      <c r="H69" s="430">
        <v>14075.63</v>
      </c>
    </row>
    <row r="70" spans="1:8" ht="76.5" x14ac:dyDescent="0.25">
      <c r="A70" s="435">
        <v>44841</v>
      </c>
      <c r="B70" s="419" t="s">
        <v>1875</v>
      </c>
      <c r="C70" s="419" t="s">
        <v>1893</v>
      </c>
      <c r="D70" s="429" t="s">
        <v>1877</v>
      </c>
      <c r="E70" s="419" t="s">
        <v>1894</v>
      </c>
      <c r="F70" s="419" t="s">
        <v>1798</v>
      </c>
      <c r="G70" s="428" t="s">
        <v>1596</v>
      </c>
      <c r="H70" s="430">
        <v>14075.63</v>
      </c>
    </row>
    <row r="71" spans="1:8" ht="76.5" x14ac:dyDescent="0.25">
      <c r="A71" s="435">
        <v>44841</v>
      </c>
      <c r="B71" s="419" t="s">
        <v>1875</v>
      </c>
      <c r="C71" s="419" t="s">
        <v>1895</v>
      </c>
      <c r="D71" s="429" t="s">
        <v>1877</v>
      </c>
      <c r="E71" s="419" t="s">
        <v>1896</v>
      </c>
      <c r="F71" s="419" t="s">
        <v>1798</v>
      </c>
      <c r="G71" s="428" t="s">
        <v>1596</v>
      </c>
      <c r="H71" s="430">
        <v>14075.63</v>
      </c>
    </row>
    <row r="72" spans="1:8" ht="76.5" x14ac:dyDescent="0.25">
      <c r="A72" s="435">
        <v>44841</v>
      </c>
      <c r="B72" s="419" t="s">
        <v>1875</v>
      </c>
      <c r="C72" s="419" t="s">
        <v>1897</v>
      </c>
      <c r="D72" s="429" t="s">
        <v>1877</v>
      </c>
      <c r="E72" s="419" t="s">
        <v>1898</v>
      </c>
      <c r="F72" s="419" t="s">
        <v>1798</v>
      </c>
      <c r="G72" s="428" t="s">
        <v>1596</v>
      </c>
      <c r="H72" s="430">
        <v>14075.63</v>
      </c>
    </row>
    <row r="73" spans="1:8" ht="76.5" x14ac:dyDescent="0.25">
      <c r="A73" s="435">
        <v>44841</v>
      </c>
      <c r="B73" s="419" t="s">
        <v>1875</v>
      </c>
      <c r="C73" s="419" t="s">
        <v>1899</v>
      </c>
      <c r="D73" s="429" t="s">
        <v>1877</v>
      </c>
      <c r="E73" s="419" t="s">
        <v>1900</v>
      </c>
      <c r="F73" s="419" t="s">
        <v>1798</v>
      </c>
      <c r="G73" s="428" t="s">
        <v>1596</v>
      </c>
      <c r="H73" s="430">
        <v>14075.63</v>
      </c>
    </row>
    <row r="74" spans="1:8" ht="76.5" x14ac:dyDescent="0.25">
      <c r="A74" s="435">
        <v>44841</v>
      </c>
      <c r="B74" s="419" t="s">
        <v>1875</v>
      </c>
      <c r="C74" s="419" t="s">
        <v>1901</v>
      </c>
      <c r="D74" s="429" t="s">
        <v>1877</v>
      </c>
      <c r="E74" s="419" t="s">
        <v>1902</v>
      </c>
      <c r="F74" s="419" t="s">
        <v>1798</v>
      </c>
      <c r="G74" s="428" t="s">
        <v>1596</v>
      </c>
      <c r="H74" s="430">
        <v>14075.63</v>
      </c>
    </row>
    <row r="75" spans="1:8" ht="76.5" x14ac:dyDescent="0.25">
      <c r="A75" s="435">
        <v>44841</v>
      </c>
      <c r="B75" s="419" t="s">
        <v>1875</v>
      </c>
      <c r="C75" s="419" t="s">
        <v>1903</v>
      </c>
      <c r="D75" s="429" t="s">
        <v>1877</v>
      </c>
      <c r="E75" s="419" t="s">
        <v>1904</v>
      </c>
      <c r="F75" s="419" t="s">
        <v>1798</v>
      </c>
      <c r="G75" s="428" t="s">
        <v>1596</v>
      </c>
      <c r="H75" s="430">
        <v>14075.63</v>
      </c>
    </row>
    <row r="76" spans="1:8" ht="76.5" x14ac:dyDescent="0.25">
      <c r="A76" s="435">
        <v>44841</v>
      </c>
      <c r="B76" s="419" t="s">
        <v>1875</v>
      </c>
      <c r="C76" s="419" t="s">
        <v>1905</v>
      </c>
      <c r="D76" s="429" t="s">
        <v>1877</v>
      </c>
      <c r="E76" s="419" t="s">
        <v>1906</v>
      </c>
      <c r="F76" s="419" t="s">
        <v>1798</v>
      </c>
      <c r="G76" s="428" t="s">
        <v>1596</v>
      </c>
      <c r="H76" s="430">
        <v>14075.63</v>
      </c>
    </row>
    <row r="77" spans="1:8" ht="76.5" x14ac:dyDescent="0.25">
      <c r="A77" s="435">
        <v>44841</v>
      </c>
      <c r="B77" s="419" t="s">
        <v>1875</v>
      </c>
      <c r="C77" s="419" t="s">
        <v>1907</v>
      </c>
      <c r="D77" s="429" t="s">
        <v>1877</v>
      </c>
      <c r="E77" s="419" t="s">
        <v>1908</v>
      </c>
      <c r="F77" s="419" t="s">
        <v>1798</v>
      </c>
      <c r="G77" s="428" t="s">
        <v>1596</v>
      </c>
      <c r="H77" s="430">
        <v>14075.63</v>
      </c>
    </row>
    <row r="78" spans="1:8" ht="76.5" x14ac:dyDescent="0.25">
      <c r="A78" s="435">
        <v>44841</v>
      </c>
      <c r="B78" s="419" t="s">
        <v>1875</v>
      </c>
      <c r="C78" s="419" t="s">
        <v>1909</v>
      </c>
      <c r="D78" s="429" t="s">
        <v>1877</v>
      </c>
      <c r="E78" s="419" t="s">
        <v>1910</v>
      </c>
      <c r="F78" s="419" t="s">
        <v>1798</v>
      </c>
      <c r="G78" s="428" t="s">
        <v>1596</v>
      </c>
      <c r="H78" s="430">
        <v>14075.63</v>
      </c>
    </row>
    <row r="79" spans="1:8" ht="76.5" x14ac:dyDescent="0.25">
      <c r="A79" s="435">
        <v>44841</v>
      </c>
      <c r="B79" s="419" t="s">
        <v>1875</v>
      </c>
      <c r="C79" s="419" t="s">
        <v>1911</v>
      </c>
      <c r="D79" s="429" t="s">
        <v>1877</v>
      </c>
      <c r="E79" s="419" t="s">
        <v>1912</v>
      </c>
      <c r="F79" s="419" t="s">
        <v>1798</v>
      </c>
      <c r="G79" s="428" t="s">
        <v>1596</v>
      </c>
      <c r="H79" s="430">
        <v>14075.63</v>
      </c>
    </row>
    <row r="80" spans="1:8" ht="76.5" x14ac:dyDescent="0.25">
      <c r="A80" s="435">
        <v>44841</v>
      </c>
      <c r="B80" s="419" t="s">
        <v>1875</v>
      </c>
      <c r="C80" s="419" t="s">
        <v>1913</v>
      </c>
      <c r="D80" s="429" t="s">
        <v>1877</v>
      </c>
      <c r="E80" s="419" t="s">
        <v>1914</v>
      </c>
      <c r="F80" s="419" t="s">
        <v>1798</v>
      </c>
      <c r="G80" s="428" t="s">
        <v>1596</v>
      </c>
      <c r="H80" s="430">
        <v>14075.63</v>
      </c>
    </row>
    <row r="81" spans="1:8" ht="76.5" x14ac:dyDescent="0.25">
      <c r="A81" s="435">
        <v>44841</v>
      </c>
      <c r="B81" s="408" t="s">
        <v>1875</v>
      </c>
      <c r="C81" s="408" t="s">
        <v>1915</v>
      </c>
      <c r="D81" s="423" t="s">
        <v>1916</v>
      </c>
      <c r="E81" s="408" t="s">
        <v>1917</v>
      </c>
      <c r="F81" s="408" t="s">
        <v>1798</v>
      </c>
      <c r="G81" s="424" t="s">
        <v>1596</v>
      </c>
      <c r="H81" s="426">
        <v>21931.99</v>
      </c>
    </row>
    <row r="82" spans="1:8" ht="76.5" x14ac:dyDescent="0.25">
      <c r="A82" s="435">
        <v>44841</v>
      </c>
      <c r="B82" s="408" t="s">
        <v>1875</v>
      </c>
      <c r="C82" s="408" t="s">
        <v>1918</v>
      </c>
      <c r="D82" s="423" t="s">
        <v>1916</v>
      </c>
      <c r="E82" s="408" t="s">
        <v>1919</v>
      </c>
      <c r="F82" s="408" t="s">
        <v>1798</v>
      </c>
      <c r="G82" s="424" t="s">
        <v>1596</v>
      </c>
      <c r="H82" s="426">
        <v>21931.99</v>
      </c>
    </row>
    <row r="83" spans="1:8" ht="76.5" x14ac:dyDescent="0.25">
      <c r="A83" s="435">
        <v>44841</v>
      </c>
      <c r="B83" s="408" t="s">
        <v>1875</v>
      </c>
      <c r="C83" s="408" t="s">
        <v>1920</v>
      </c>
      <c r="D83" s="423" t="s">
        <v>1916</v>
      </c>
      <c r="E83" s="408" t="s">
        <v>1921</v>
      </c>
      <c r="F83" s="408" t="s">
        <v>1798</v>
      </c>
      <c r="G83" s="424" t="s">
        <v>1596</v>
      </c>
      <c r="H83" s="426">
        <v>21932</v>
      </c>
    </row>
    <row r="84" spans="1:8" ht="76.5" x14ac:dyDescent="0.25">
      <c r="A84" s="435">
        <v>44841</v>
      </c>
      <c r="B84" s="408" t="s">
        <v>1875</v>
      </c>
      <c r="C84" s="408" t="s">
        <v>1922</v>
      </c>
      <c r="D84" s="423" t="s">
        <v>1916</v>
      </c>
      <c r="E84" s="408" t="s">
        <v>1923</v>
      </c>
      <c r="F84" s="408" t="s">
        <v>1798</v>
      </c>
      <c r="G84" s="424" t="s">
        <v>1596</v>
      </c>
      <c r="H84" s="426">
        <v>21932</v>
      </c>
    </row>
    <row r="85" spans="1:8" ht="76.5" x14ac:dyDescent="0.25">
      <c r="A85" s="435">
        <v>44841</v>
      </c>
      <c r="B85" s="408" t="s">
        <v>1875</v>
      </c>
      <c r="C85" s="408" t="s">
        <v>1924</v>
      </c>
      <c r="D85" s="423" t="s">
        <v>1916</v>
      </c>
      <c r="E85" s="408" t="s">
        <v>1925</v>
      </c>
      <c r="F85" s="408" t="s">
        <v>1798</v>
      </c>
      <c r="G85" s="424" t="s">
        <v>1596</v>
      </c>
      <c r="H85" s="426">
        <v>21932</v>
      </c>
    </row>
    <row r="86" spans="1:8" ht="76.5" x14ac:dyDescent="0.25">
      <c r="A86" s="435">
        <v>44841</v>
      </c>
      <c r="B86" s="408" t="s">
        <v>1875</v>
      </c>
      <c r="C86" s="408" t="s">
        <v>1926</v>
      </c>
      <c r="D86" s="423" t="s">
        <v>1916</v>
      </c>
      <c r="E86" s="408" t="s">
        <v>1927</v>
      </c>
      <c r="F86" s="408" t="s">
        <v>1798</v>
      </c>
      <c r="G86" s="424" t="s">
        <v>1596</v>
      </c>
      <c r="H86" s="426">
        <v>21932</v>
      </c>
    </row>
    <row r="87" spans="1:8" ht="76.5" x14ac:dyDescent="0.25">
      <c r="A87" s="435">
        <v>44841</v>
      </c>
      <c r="B87" s="408" t="s">
        <v>1875</v>
      </c>
      <c r="C87" s="408" t="s">
        <v>1928</v>
      </c>
      <c r="D87" s="423" t="s">
        <v>1916</v>
      </c>
      <c r="E87" s="408" t="s">
        <v>1929</v>
      </c>
      <c r="F87" s="408" t="s">
        <v>1798</v>
      </c>
      <c r="G87" s="424" t="s">
        <v>1596</v>
      </c>
      <c r="H87" s="426">
        <v>21932</v>
      </c>
    </row>
    <row r="88" spans="1:8" ht="76.5" x14ac:dyDescent="0.25">
      <c r="A88" s="435">
        <v>44841</v>
      </c>
      <c r="B88" s="408" t="s">
        <v>1875</v>
      </c>
      <c r="C88" s="408" t="s">
        <v>1930</v>
      </c>
      <c r="D88" s="423" t="s">
        <v>1916</v>
      </c>
      <c r="E88" s="408" t="s">
        <v>1931</v>
      </c>
      <c r="F88" s="408" t="s">
        <v>1798</v>
      </c>
      <c r="G88" s="424" t="s">
        <v>1596</v>
      </c>
      <c r="H88" s="426">
        <v>21932</v>
      </c>
    </row>
    <row r="89" spans="1:8" ht="76.5" x14ac:dyDescent="0.25">
      <c r="A89" s="435">
        <v>44841</v>
      </c>
      <c r="B89" s="408" t="s">
        <v>1875</v>
      </c>
      <c r="C89" s="408" t="s">
        <v>1932</v>
      </c>
      <c r="D89" s="423" t="s">
        <v>1916</v>
      </c>
      <c r="E89" s="408" t="s">
        <v>1933</v>
      </c>
      <c r="F89" s="408" t="s">
        <v>1798</v>
      </c>
      <c r="G89" s="424" t="s">
        <v>1596</v>
      </c>
      <c r="H89" s="426">
        <v>21932</v>
      </c>
    </row>
    <row r="90" spans="1:8" ht="76.5" x14ac:dyDescent="0.25">
      <c r="A90" s="435">
        <v>44841</v>
      </c>
      <c r="B90" s="408" t="s">
        <v>1875</v>
      </c>
      <c r="C90" s="408" t="s">
        <v>1934</v>
      </c>
      <c r="D90" s="423" t="s">
        <v>1916</v>
      </c>
      <c r="E90" s="408" t="s">
        <v>1935</v>
      </c>
      <c r="F90" s="408" t="s">
        <v>1798</v>
      </c>
      <c r="G90" s="424" t="s">
        <v>1596</v>
      </c>
      <c r="H90" s="426">
        <v>21932</v>
      </c>
    </row>
    <row r="91" spans="1:8" ht="76.5" x14ac:dyDescent="0.25">
      <c r="A91" s="435">
        <v>44841</v>
      </c>
      <c r="B91" s="408" t="s">
        <v>1875</v>
      </c>
      <c r="C91" s="408" t="s">
        <v>1936</v>
      </c>
      <c r="D91" s="423" t="s">
        <v>1916</v>
      </c>
      <c r="E91" s="408" t="s">
        <v>1937</v>
      </c>
      <c r="F91" s="408" t="s">
        <v>1798</v>
      </c>
      <c r="G91" s="424" t="s">
        <v>1596</v>
      </c>
      <c r="H91" s="426">
        <v>21932</v>
      </c>
    </row>
    <row r="92" spans="1:8" ht="76.5" x14ac:dyDescent="0.25">
      <c r="A92" s="435">
        <v>44841</v>
      </c>
      <c r="B92" s="408" t="s">
        <v>1875</v>
      </c>
      <c r="C92" s="408" t="s">
        <v>1938</v>
      </c>
      <c r="D92" s="423" t="s">
        <v>1916</v>
      </c>
      <c r="E92" s="408" t="s">
        <v>1939</v>
      </c>
      <c r="F92" s="408" t="s">
        <v>1798</v>
      </c>
      <c r="G92" s="424" t="s">
        <v>1596</v>
      </c>
      <c r="H92" s="426">
        <v>21932</v>
      </c>
    </row>
    <row r="93" spans="1:8" ht="76.5" x14ac:dyDescent="0.25">
      <c r="A93" s="435">
        <v>44841</v>
      </c>
      <c r="B93" s="408" t="s">
        <v>1875</v>
      </c>
      <c r="C93" s="408" t="s">
        <v>1940</v>
      </c>
      <c r="D93" s="423" t="s">
        <v>1916</v>
      </c>
      <c r="E93" s="408" t="s">
        <v>1941</v>
      </c>
      <c r="F93" s="408" t="s">
        <v>1798</v>
      </c>
      <c r="G93" s="424" t="s">
        <v>1596</v>
      </c>
      <c r="H93" s="426">
        <v>21932</v>
      </c>
    </row>
    <row r="94" spans="1:8" ht="76.5" x14ac:dyDescent="0.25">
      <c r="A94" s="435">
        <v>44841</v>
      </c>
      <c r="B94" s="408" t="s">
        <v>1875</v>
      </c>
      <c r="C94" s="408" t="s">
        <v>1942</v>
      </c>
      <c r="D94" s="423" t="s">
        <v>1916</v>
      </c>
      <c r="E94" s="408" t="s">
        <v>1943</v>
      </c>
      <c r="F94" s="408" t="s">
        <v>1798</v>
      </c>
      <c r="G94" s="424" t="s">
        <v>1596</v>
      </c>
      <c r="H94" s="426">
        <v>21932</v>
      </c>
    </row>
    <row r="95" spans="1:8" ht="76.5" x14ac:dyDescent="0.25">
      <c r="A95" s="435">
        <v>44841</v>
      </c>
      <c r="B95" s="408" t="s">
        <v>1875</v>
      </c>
      <c r="C95" s="408" t="s">
        <v>1944</v>
      </c>
      <c r="D95" s="423" t="s">
        <v>1916</v>
      </c>
      <c r="E95" s="408" t="s">
        <v>1945</v>
      </c>
      <c r="F95" s="408" t="s">
        <v>1798</v>
      </c>
      <c r="G95" s="424" t="s">
        <v>1596</v>
      </c>
      <c r="H95" s="426">
        <v>21932</v>
      </c>
    </row>
    <row r="96" spans="1:8" ht="76.5" x14ac:dyDescent="0.25">
      <c r="A96" s="435">
        <v>44841</v>
      </c>
      <c r="B96" s="408" t="s">
        <v>1875</v>
      </c>
      <c r="C96" s="408" t="s">
        <v>1946</v>
      </c>
      <c r="D96" s="423" t="s">
        <v>1916</v>
      </c>
      <c r="E96" s="408" t="s">
        <v>1947</v>
      </c>
      <c r="F96" s="408" t="s">
        <v>1798</v>
      </c>
      <c r="G96" s="424" t="s">
        <v>1596</v>
      </c>
      <c r="H96" s="426">
        <v>21932</v>
      </c>
    </row>
    <row r="97" spans="1:8" ht="76.5" x14ac:dyDescent="0.25">
      <c r="A97" s="435">
        <v>44841</v>
      </c>
      <c r="B97" s="408" t="s">
        <v>1875</v>
      </c>
      <c r="C97" s="408" t="s">
        <v>1948</v>
      </c>
      <c r="D97" s="423" t="s">
        <v>1916</v>
      </c>
      <c r="E97" s="408" t="s">
        <v>1949</v>
      </c>
      <c r="F97" s="408" t="s">
        <v>1798</v>
      </c>
      <c r="G97" s="424" t="s">
        <v>1596</v>
      </c>
      <c r="H97" s="426">
        <v>21932</v>
      </c>
    </row>
    <row r="98" spans="1:8" ht="76.5" x14ac:dyDescent="0.25">
      <c r="A98" s="435">
        <v>44841</v>
      </c>
      <c r="B98" s="408" t="s">
        <v>1875</v>
      </c>
      <c r="C98" s="408" t="s">
        <v>1950</v>
      </c>
      <c r="D98" s="423" t="s">
        <v>1916</v>
      </c>
      <c r="E98" s="408" t="s">
        <v>1951</v>
      </c>
      <c r="F98" s="408" t="s">
        <v>1798</v>
      </c>
      <c r="G98" s="424" t="s">
        <v>1596</v>
      </c>
      <c r="H98" s="426">
        <v>21932</v>
      </c>
    </row>
    <row r="99" spans="1:8" ht="76.5" x14ac:dyDescent="0.25">
      <c r="A99" s="435">
        <v>44841</v>
      </c>
      <c r="B99" s="408" t="s">
        <v>1875</v>
      </c>
      <c r="C99" s="408" t="s">
        <v>1952</v>
      </c>
      <c r="D99" s="423" t="s">
        <v>1916</v>
      </c>
      <c r="E99" s="408" t="s">
        <v>1953</v>
      </c>
      <c r="F99" s="408" t="s">
        <v>1798</v>
      </c>
      <c r="G99" s="424" t="s">
        <v>1596</v>
      </c>
      <c r="H99" s="426">
        <v>21932</v>
      </c>
    </row>
    <row r="100" spans="1:8" ht="76.5" x14ac:dyDescent="0.25">
      <c r="A100" s="435">
        <v>44841</v>
      </c>
      <c r="B100" s="408" t="s">
        <v>1875</v>
      </c>
      <c r="C100" s="408" t="s">
        <v>1954</v>
      </c>
      <c r="D100" s="423" t="s">
        <v>1916</v>
      </c>
      <c r="E100" s="408" t="s">
        <v>1955</v>
      </c>
      <c r="F100" s="408" t="s">
        <v>1798</v>
      </c>
      <c r="G100" s="424" t="s">
        <v>1596</v>
      </c>
      <c r="H100" s="426">
        <v>21932</v>
      </c>
    </row>
    <row r="101" spans="1:8" ht="75" x14ac:dyDescent="0.25">
      <c r="A101" s="435">
        <v>44844</v>
      </c>
      <c r="B101" s="408" t="s">
        <v>1956</v>
      </c>
      <c r="C101" s="408" t="s">
        <v>1957</v>
      </c>
      <c r="D101" s="423" t="s">
        <v>1958</v>
      </c>
      <c r="E101" s="408" t="s">
        <v>1959</v>
      </c>
      <c r="F101" s="472" t="s">
        <v>4095</v>
      </c>
      <c r="G101" s="473" t="s">
        <v>1445</v>
      </c>
      <c r="H101" s="426">
        <v>136046.5</v>
      </c>
    </row>
    <row r="102" spans="1:8" ht="75" x14ac:dyDescent="0.25">
      <c r="A102" s="435">
        <v>44844</v>
      </c>
      <c r="B102" s="408" t="s">
        <v>1956</v>
      </c>
      <c r="C102" s="408" t="s">
        <v>1960</v>
      </c>
      <c r="D102" s="423" t="s">
        <v>1958</v>
      </c>
      <c r="E102" s="408" t="s">
        <v>1961</v>
      </c>
      <c r="F102" s="472" t="s">
        <v>4094</v>
      </c>
      <c r="G102" s="473" t="s">
        <v>1445</v>
      </c>
      <c r="H102" s="426">
        <v>136046.5</v>
      </c>
    </row>
    <row r="103" spans="1:8" ht="75" x14ac:dyDescent="0.25">
      <c r="A103" s="435">
        <v>44844</v>
      </c>
      <c r="B103" s="408" t="s">
        <v>1956</v>
      </c>
      <c r="C103" s="408" t="s">
        <v>1962</v>
      </c>
      <c r="D103" s="423" t="s">
        <v>1958</v>
      </c>
      <c r="E103" s="471" t="s">
        <v>1973</v>
      </c>
      <c r="F103" s="472" t="s">
        <v>4093</v>
      </c>
      <c r="G103" s="473" t="s">
        <v>1445</v>
      </c>
      <c r="H103" s="426">
        <v>136046.5</v>
      </c>
    </row>
    <row r="104" spans="1:8" ht="60" x14ac:dyDescent="0.25">
      <c r="A104" s="435">
        <v>44844</v>
      </c>
      <c r="B104" s="408" t="s">
        <v>1956</v>
      </c>
      <c r="C104" s="408" t="s">
        <v>1964</v>
      </c>
      <c r="D104" s="423" t="s">
        <v>1958</v>
      </c>
      <c r="E104" s="408" t="s">
        <v>1965</v>
      </c>
      <c r="F104" s="472" t="s">
        <v>4096</v>
      </c>
      <c r="G104" s="473" t="s">
        <v>4098</v>
      </c>
      <c r="H104" s="426">
        <v>136046.5</v>
      </c>
    </row>
    <row r="105" spans="1:8" ht="60" x14ac:dyDescent="0.25">
      <c r="A105" s="435">
        <v>44844</v>
      </c>
      <c r="B105" s="408" t="s">
        <v>1956</v>
      </c>
      <c r="C105" s="408" t="s">
        <v>1966</v>
      </c>
      <c r="D105" s="423" t="s">
        <v>1958</v>
      </c>
      <c r="E105" s="471" t="s">
        <v>1971</v>
      </c>
      <c r="F105" s="472" t="s">
        <v>4096</v>
      </c>
      <c r="G105" s="473" t="s">
        <v>4098</v>
      </c>
      <c r="H105" s="426">
        <v>136046.5</v>
      </c>
    </row>
    <row r="106" spans="1:8" ht="60" x14ac:dyDescent="0.25">
      <c r="A106" s="435">
        <v>44844</v>
      </c>
      <c r="B106" s="408" t="s">
        <v>1956</v>
      </c>
      <c r="C106" s="408" t="s">
        <v>1968</v>
      </c>
      <c r="D106" s="423" t="s">
        <v>1958</v>
      </c>
      <c r="E106" s="408" t="s">
        <v>1969</v>
      </c>
      <c r="F106" s="472" t="s">
        <v>4096</v>
      </c>
      <c r="G106" s="473" t="s">
        <v>4098</v>
      </c>
      <c r="H106" s="426">
        <v>136046.5</v>
      </c>
    </row>
    <row r="107" spans="1:8" ht="60" x14ac:dyDescent="0.25">
      <c r="A107" s="435">
        <v>44844</v>
      </c>
      <c r="B107" s="408" t="s">
        <v>1956</v>
      </c>
      <c r="C107" s="408" t="s">
        <v>1970</v>
      </c>
      <c r="D107" s="423" t="s">
        <v>1958</v>
      </c>
      <c r="E107" s="471" t="s">
        <v>1967</v>
      </c>
      <c r="F107" s="472" t="s">
        <v>4092</v>
      </c>
      <c r="G107" s="473" t="s">
        <v>4099</v>
      </c>
      <c r="H107" s="426">
        <v>136046.5</v>
      </c>
    </row>
    <row r="108" spans="1:8" ht="60" x14ac:dyDescent="0.25">
      <c r="A108" s="435">
        <v>44844</v>
      </c>
      <c r="B108" s="408" t="s">
        <v>1956</v>
      </c>
      <c r="C108" s="408" t="s">
        <v>1972</v>
      </c>
      <c r="D108" s="423" t="s">
        <v>1958</v>
      </c>
      <c r="E108" s="471" t="s">
        <v>1977</v>
      </c>
      <c r="F108" s="472" t="s">
        <v>4092</v>
      </c>
      <c r="G108" s="473" t="s">
        <v>4099</v>
      </c>
      <c r="H108" s="426">
        <v>136046.5</v>
      </c>
    </row>
    <row r="109" spans="1:8" ht="90" x14ac:dyDescent="0.25">
      <c r="A109" s="435">
        <v>44844</v>
      </c>
      <c r="B109" s="408" t="s">
        <v>1956</v>
      </c>
      <c r="C109" s="408" t="s">
        <v>1974</v>
      </c>
      <c r="D109" s="423" t="s">
        <v>1958</v>
      </c>
      <c r="E109" s="408" t="s">
        <v>1975</v>
      </c>
      <c r="F109" s="472" t="s">
        <v>4097</v>
      </c>
      <c r="G109" s="473" t="s">
        <v>4100</v>
      </c>
      <c r="H109" s="426">
        <v>136046.5</v>
      </c>
    </row>
    <row r="110" spans="1:8" ht="90" x14ac:dyDescent="0.25">
      <c r="A110" s="435">
        <v>44844</v>
      </c>
      <c r="B110" s="408" t="s">
        <v>1956</v>
      </c>
      <c r="C110" s="408" t="s">
        <v>1976</v>
      </c>
      <c r="D110" s="423" t="s">
        <v>1958</v>
      </c>
      <c r="E110" s="471" t="s">
        <v>1963</v>
      </c>
      <c r="F110" s="472" t="s">
        <v>4091</v>
      </c>
      <c r="G110" s="473" t="s">
        <v>1445</v>
      </c>
      <c r="H110" s="426">
        <v>136046.5</v>
      </c>
    </row>
    <row r="111" spans="1:8" ht="76.5" x14ac:dyDescent="0.25">
      <c r="A111" s="435">
        <v>44853</v>
      </c>
      <c r="B111" s="408" t="s">
        <v>1978</v>
      </c>
      <c r="C111" s="408" t="s">
        <v>1979</v>
      </c>
      <c r="D111" s="475" t="s">
        <v>1980</v>
      </c>
      <c r="E111" s="408" t="s">
        <v>1981</v>
      </c>
      <c r="F111" s="408" t="s">
        <v>1798</v>
      </c>
      <c r="G111" s="424" t="s">
        <v>1596</v>
      </c>
      <c r="H111" s="426">
        <v>13086.2</v>
      </c>
    </row>
    <row r="112" spans="1:8" ht="76.5" x14ac:dyDescent="0.25">
      <c r="A112" s="435">
        <v>44853</v>
      </c>
      <c r="B112" s="408" t="s">
        <v>1978</v>
      </c>
      <c r="C112" s="408" t="s">
        <v>1982</v>
      </c>
      <c r="D112" s="475" t="s">
        <v>1980</v>
      </c>
      <c r="E112" s="408" t="s">
        <v>1983</v>
      </c>
      <c r="F112" s="408" t="s">
        <v>1798</v>
      </c>
      <c r="G112" s="424" t="s">
        <v>1596</v>
      </c>
      <c r="H112" s="426">
        <v>13086.2</v>
      </c>
    </row>
    <row r="113" spans="1:8" ht="76.5" x14ac:dyDescent="0.25">
      <c r="A113" s="435">
        <v>44853</v>
      </c>
      <c r="B113" s="408" t="s">
        <v>1978</v>
      </c>
      <c r="C113" s="408" t="s">
        <v>1984</v>
      </c>
      <c r="D113" s="475" t="s">
        <v>1980</v>
      </c>
      <c r="E113" s="408" t="s">
        <v>1985</v>
      </c>
      <c r="F113" s="408" t="s">
        <v>1798</v>
      </c>
      <c r="G113" s="424" t="s">
        <v>1596</v>
      </c>
      <c r="H113" s="426">
        <v>13086.2</v>
      </c>
    </row>
    <row r="114" spans="1:8" ht="76.5" x14ac:dyDescent="0.25">
      <c r="A114" s="435">
        <v>44853</v>
      </c>
      <c r="B114" s="408" t="s">
        <v>1978</v>
      </c>
      <c r="C114" s="408" t="s">
        <v>1986</v>
      </c>
      <c r="D114" s="475" t="s">
        <v>1980</v>
      </c>
      <c r="E114" s="408" t="s">
        <v>1987</v>
      </c>
      <c r="F114" s="408" t="s">
        <v>1798</v>
      </c>
      <c r="G114" s="424" t="s">
        <v>1596</v>
      </c>
      <c r="H114" s="426">
        <v>13086.2</v>
      </c>
    </row>
    <row r="115" spans="1:8" ht="76.5" x14ac:dyDescent="0.25">
      <c r="A115" s="435">
        <v>44853</v>
      </c>
      <c r="B115" s="408" t="s">
        <v>1978</v>
      </c>
      <c r="C115" s="408" t="s">
        <v>1988</v>
      </c>
      <c r="D115" s="475" t="s">
        <v>1980</v>
      </c>
      <c r="E115" s="408" t="s">
        <v>1989</v>
      </c>
      <c r="F115" s="408" t="s">
        <v>1798</v>
      </c>
      <c r="G115" s="424" t="s">
        <v>1596</v>
      </c>
      <c r="H115" s="426">
        <v>13086.2</v>
      </c>
    </row>
    <row r="116" spans="1:8" ht="76.5" x14ac:dyDescent="0.25">
      <c r="A116" s="435">
        <v>44853</v>
      </c>
      <c r="B116" s="408" t="s">
        <v>1978</v>
      </c>
      <c r="C116" s="408" t="s">
        <v>1990</v>
      </c>
      <c r="D116" s="475" t="s">
        <v>1980</v>
      </c>
      <c r="E116" s="408" t="s">
        <v>1991</v>
      </c>
      <c r="F116" s="408" t="s">
        <v>1798</v>
      </c>
      <c r="G116" s="424" t="s">
        <v>1596</v>
      </c>
      <c r="H116" s="426">
        <v>13086.2</v>
      </c>
    </row>
    <row r="117" spans="1:8" ht="76.5" x14ac:dyDescent="0.25">
      <c r="A117" s="435">
        <v>44853</v>
      </c>
      <c r="B117" s="408" t="s">
        <v>1978</v>
      </c>
      <c r="C117" s="408" t="s">
        <v>1992</v>
      </c>
      <c r="D117" s="475" t="s">
        <v>1980</v>
      </c>
      <c r="E117" s="408" t="s">
        <v>1993</v>
      </c>
      <c r="F117" s="408" t="s">
        <v>1798</v>
      </c>
      <c r="G117" s="424" t="s">
        <v>1596</v>
      </c>
      <c r="H117" s="426">
        <v>13086.2</v>
      </c>
    </row>
    <row r="118" spans="1:8" ht="76.5" x14ac:dyDescent="0.25">
      <c r="A118" s="435">
        <v>44853</v>
      </c>
      <c r="B118" s="408" t="s">
        <v>1978</v>
      </c>
      <c r="C118" s="408" t="s">
        <v>1994</v>
      </c>
      <c r="D118" s="475" t="s">
        <v>1980</v>
      </c>
      <c r="E118" s="408" t="s">
        <v>1995</v>
      </c>
      <c r="F118" s="408" t="s">
        <v>1798</v>
      </c>
      <c r="G118" s="424" t="s">
        <v>1596</v>
      </c>
      <c r="H118" s="426">
        <v>13086.2</v>
      </c>
    </row>
    <row r="119" spans="1:8" ht="76.5" x14ac:dyDescent="0.25">
      <c r="A119" s="435">
        <v>44853</v>
      </c>
      <c r="B119" s="408" t="s">
        <v>1978</v>
      </c>
      <c r="C119" s="408" t="s">
        <v>1996</v>
      </c>
      <c r="D119" s="475" t="s">
        <v>1980</v>
      </c>
      <c r="E119" s="408" t="s">
        <v>1997</v>
      </c>
      <c r="F119" s="408" t="s">
        <v>1798</v>
      </c>
      <c r="G119" s="424" t="s">
        <v>1596</v>
      </c>
      <c r="H119" s="426">
        <v>13086.2</v>
      </c>
    </row>
    <row r="120" spans="1:8" ht="76.5" x14ac:dyDescent="0.25">
      <c r="A120" s="435">
        <v>44853</v>
      </c>
      <c r="B120" s="408" t="s">
        <v>1978</v>
      </c>
      <c r="C120" s="408" t="s">
        <v>1998</v>
      </c>
      <c r="D120" s="475" t="s">
        <v>1980</v>
      </c>
      <c r="E120" s="408" t="s">
        <v>1999</v>
      </c>
      <c r="F120" s="408" t="s">
        <v>1798</v>
      </c>
      <c r="G120" s="424" t="s">
        <v>1596</v>
      </c>
      <c r="H120" s="426">
        <v>13086.2</v>
      </c>
    </row>
    <row r="121" spans="1:8" ht="76.5" x14ac:dyDescent="0.25">
      <c r="A121" s="435">
        <v>44853</v>
      </c>
      <c r="B121" s="408" t="s">
        <v>1978</v>
      </c>
      <c r="C121" s="408" t="s">
        <v>2000</v>
      </c>
      <c r="D121" s="475" t="s">
        <v>2001</v>
      </c>
      <c r="E121" s="408" t="s">
        <v>2002</v>
      </c>
      <c r="F121" s="408" t="s">
        <v>1798</v>
      </c>
      <c r="G121" s="424" t="s">
        <v>1596</v>
      </c>
      <c r="H121" s="426">
        <v>4498.16</v>
      </c>
    </row>
    <row r="122" spans="1:8" ht="76.5" x14ac:dyDescent="0.25">
      <c r="A122" s="435">
        <v>44853</v>
      </c>
      <c r="B122" s="408" t="s">
        <v>1978</v>
      </c>
      <c r="C122" s="408" t="s">
        <v>2003</v>
      </c>
      <c r="D122" s="475" t="s">
        <v>2001</v>
      </c>
      <c r="E122" s="408" t="s">
        <v>2004</v>
      </c>
      <c r="F122" s="408" t="s">
        <v>1798</v>
      </c>
      <c r="G122" s="424" t="s">
        <v>1596</v>
      </c>
      <c r="H122" s="426">
        <v>4498.16</v>
      </c>
    </row>
    <row r="123" spans="1:8" ht="76.5" x14ac:dyDescent="0.25">
      <c r="A123" s="435">
        <v>44853</v>
      </c>
      <c r="B123" s="408" t="s">
        <v>1978</v>
      </c>
      <c r="C123" s="408" t="s">
        <v>2005</v>
      </c>
      <c r="D123" s="475" t="s">
        <v>2001</v>
      </c>
      <c r="E123" s="408" t="s">
        <v>2006</v>
      </c>
      <c r="F123" s="408" t="s">
        <v>1798</v>
      </c>
      <c r="G123" s="424" t="s">
        <v>1596</v>
      </c>
      <c r="H123" s="426">
        <v>4498.16</v>
      </c>
    </row>
    <row r="124" spans="1:8" ht="76.5" x14ac:dyDescent="0.25">
      <c r="A124" s="435">
        <v>44853</v>
      </c>
      <c r="B124" s="408" t="s">
        <v>1978</v>
      </c>
      <c r="C124" s="408" t="s">
        <v>2007</v>
      </c>
      <c r="D124" s="475" t="s">
        <v>2001</v>
      </c>
      <c r="E124" s="408" t="s">
        <v>2008</v>
      </c>
      <c r="F124" s="408" t="s">
        <v>1798</v>
      </c>
      <c r="G124" s="424" t="s">
        <v>1596</v>
      </c>
      <c r="H124" s="426">
        <v>4498.16</v>
      </c>
    </row>
    <row r="125" spans="1:8" ht="76.5" x14ac:dyDescent="0.25">
      <c r="A125" s="435">
        <v>44853</v>
      </c>
      <c r="B125" s="408" t="s">
        <v>1978</v>
      </c>
      <c r="C125" s="408" t="s">
        <v>2009</v>
      </c>
      <c r="D125" s="475" t="s">
        <v>2001</v>
      </c>
      <c r="E125" s="408" t="s">
        <v>2010</v>
      </c>
      <c r="F125" s="408" t="s">
        <v>1798</v>
      </c>
      <c r="G125" s="424" t="s">
        <v>1596</v>
      </c>
      <c r="H125" s="426">
        <v>4498.16</v>
      </c>
    </row>
    <row r="126" spans="1:8" ht="76.5" x14ac:dyDescent="0.25">
      <c r="A126" s="435">
        <v>44853</v>
      </c>
      <c r="B126" s="408" t="s">
        <v>1978</v>
      </c>
      <c r="C126" s="408" t="s">
        <v>2011</v>
      </c>
      <c r="D126" s="475" t="s">
        <v>2001</v>
      </c>
      <c r="E126" s="408" t="s">
        <v>2012</v>
      </c>
      <c r="F126" s="408" t="s">
        <v>1798</v>
      </c>
      <c r="G126" s="424" t="s">
        <v>1596</v>
      </c>
      <c r="H126" s="426">
        <v>4498.16</v>
      </c>
    </row>
    <row r="127" spans="1:8" ht="76.5" x14ac:dyDescent="0.25">
      <c r="A127" s="435">
        <v>44853</v>
      </c>
      <c r="B127" s="408" t="s">
        <v>1978</v>
      </c>
      <c r="C127" s="408" t="s">
        <v>2013</v>
      </c>
      <c r="D127" s="475" t="s">
        <v>2001</v>
      </c>
      <c r="E127" s="408" t="s">
        <v>2014</v>
      </c>
      <c r="F127" s="408" t="s">
        <v>1798</v>
      </c>
      <c r="G127" s="424" t="s">
        <v>1596</v>
      </c>
      <c r="H127" s="426">
        <v>4498.16</v>
      </c>
    </row>
    <row r="128" spans="1:8" ht="76.5" x14ac:dyDescent="0.25">
      <c r="A128" s="435">
        <v>44853</v>
      </c>
      <c r="B128" s="408" t="s">
        <v>1978</v>
      </c>
      <c r="C128" s="408" t="s">
        <v>2015</v>
      </c>
      <c r="D128" s="475" t="s">
        <v>2001</v>
      </c>
      <c r="E128" s="408" t="s">
        <v>2016</v>
      </c>
      <c r="F128" s="408" t="s">
        <v>1798</v>
      </c>
      <c r="G128" s="424" t="s">
        <v>1596</v>
      </c>
      <c r="H128" s="426">
        <v>4498.16</v>
      </c>
    </row>
    <row r="129" spans="1:8" ht="76.5" x14ac:dyDescent="0.25">
      <c r="A129" s="435">
        <v>44853</v>
      </c>
      <c r="B129" s="408" t="s">
        <v>1978</v>
      </c>
      <c r="C129" s="408" t="s">
        <v>2017</v>
      </c>
      <c r="D129" s="475" t="s">
        <v>2001</v>
      </c>
      <c r="E129" s="408" t="s">
        <v>2018</v>
      </c>
      <c r="F129" s="408" t="s">
        <v>1798</v>
      </c>
      <c r="G129" s="424" t="s">
        <v>1596</v>
      </c>
      <c r="H129" s="426">
        <v>4498.16</v>
      </c>
    </row>
    <row r="130" spans="1:8" ht="76.5" x14ac:dyDescent="0.25">
      <c r="A130" s="435">
        <v>44853</v>
      </c>
      <c r="B130" s="408" t="s">
        <v>1978</v>
      </c>
      <c r="C130" s="408" t="s">
        <v>2019</v>
      </c>
      <c r="D130" s="475" t="s">
        <v>2001</v>
      </c>
      <c r="E130" s="408" t="s">
        <v>2020</v>
      </c>
      <c r="F130" s="408" t="s">
        <v>1798</v>
      </c>
      <c r="G130" s="424" t="s">
        <v>1596</v>
      </c>
      <c r="H130" s="426">
        <v>4498.16</v>
      </c>
    </row>
    <row r="131" spans="1:8" ht="76.5" x14ac:dyDescent="0.25">
      <c r="A131" s="435">
        <v>44853</v>
      </c>
      <c r="B131" s="408" t="s">
        <v>1978</v>
      </c>
      <c r="C131" s="408" t="s">
        <v>2021</v>
      </c>
      <c r="D131" s="475" t="s">
        <v>1800</v>
      </c>
      <c r="E131" s="408" t="s">
        <v>2022</v>
      </c>
      <c r="F131" s="408" t="s">
        <v>1798</v>
      </c>
      <c r="G131" s="424" t="s">
        <v>1596</v>
      </c>
      <c r="H131" s="426">
        <v>66039.88</v>
      </c>
    </row>
    <row r="132" spans="1:8" ht="76.5" x14ac:dyDescent="0.25">
      <c r="A132" s="435">
        <v>44853</v>
      </c>
      <c r="B132" s="408" t="s">
        <v>1978</v>
      </c>
      <c r="C132" s="408" t="s">
        <v>2023</v>
      </c>
      <c r="D132" s="475" t="s">
        <v>1800</v>
      </c>
      <c r="E132" s="408" t="s">
        <v>2024</v>
      </c>
      <c r="F132" s="408" t="s">
        <v>1798</v>
      </c>
      <c r="G132" s="424" t="s">
        <v>1596</v>
      </c>
      <c r="H132" s="426">
        <v>66039.88</v>
      </c>
    </row>
    <row r="133" spans="1:8" ht="76.5" x14ac:dyDescent="0.25">
      <c r="A133" s="435">
        <v>44853</v>
      </c>
      <c r="B133" s="408" t="s">
        <v>1978</v>
      </c>
      <c r="C133" s="408" t="s">
        <v>2025</v>
      </c>
      <c r="D133" s="475" t="s">
        <v>1800</v>
      </c>
      <c r="E133" s="408" t="s">
        <v>2026</v>
      </c>
      <c r="F133" s="408" t="s">
        <v>1798</v>
      </c>
      <c r="G133" s="424" t="s">
        <v>1596</v>
      </c>
      <c r="H133" s="426">
        <v>66039.88</v>
      </c>
    </row>
    <row r="134" spans="1:8" ht="76.5" x14ac:dyDescent="0.25">
      <c r="A134" s="435">
        <v>44853</v>
      </c>
      <c r="B134" s="408" t="s">
        <v>1978</v>
      </c>
      <c r="C134" s="408" t="s">
        <v>2027</v>
      </c>
      <c r="D134" s="475" t="s">
        <v>1800</v>
      </c>
      <c r="E134" s="408" t="s">
        <v>2028</v>
      </c>
      <c r="F134" s="408" t="s">
        <v>1798</v>
      </c>
      <c r="G134" s="424" t="s">
        <v>1596</v>
      </c>
      <c r="H134" s="426">
        <v>66039.88</v>
      </c>
    </row>
    <row r="135" spans="1:8" ht="76.5" x14ac:dyDescent="0.25">
      <c r="A135" s="435">
        <v>44853</v>
      </c>
      <c r="B135" s="408" t="s">
        <v>1978</v>
      </c>
      <c r="C135" s="408" t="s">
        <v>2029</v>
      </c>
      <c r="D135" s="475" t="s">
        <v>1800</v>
      </c>
      <c r="E135" s="408" t="s">
        <v>2030</v>
      </c>
      <c r="F135" s="408" t="s">
        <v>1798</v>
      </c>
      <c r="G135" s="424" t="s">
        <v>1596</v>
      </c>
      <c r="H135" s="426">
        <v>66039.88</v>
      </c>
    </row>
    <row r="136" spans="1:8" ht="76.5" x14ac:dyDescent="0.25">
      <c r="A136" s="435">
        <v>44853</v>
      </c>
      <c r="B136" s="408" t="s">
        <v>1978</v>
      </c>
      <c r="C136" s="408" t="s">
        <v>2031</v>
      </c>
      <c r="D136" s="475" t="s">
        <v>1800</v>
      </c>
      <c r="E136" s="408" t="s">
        <v>2032</v>
      </c>
      <c r="F136" s="408" t="s">
        <v>1798</v>
      </c>
      <c r="G136" s="424" t="s">
        <v>1596</v>
      </c>
      <c r="H136" s="426">
        <v>66039.88</v>
      </c>
    </row>
    <row r="137" spans="1:8" ht="76.5" x14ac:dyDescent="0.25">
      <c r="A137" s="435">
        <v>44853</v>
      </c>
      <c r="B137" s="408" t="s">
        <v>1978</v>
      </c>
      <c r="C137" s="408" t="s">
        <v>2033</v>
      </c>
      <c r="D137" s="475" t="s">
        <v>1800</v>
      </c>
      <c r="E137" s="408" t="s">
        <v>2034</v>
      </c>
      <c r="F137" s="408" t="s">
        <v>1798</v>
      </c>
      <c r="G137" s="424" t="s">
        <v>1596</v>
      </c>
      <c r="H137" s="426">
        <v>66039.88</v>
      </c>
    </row>
    <row r="138" spans="1:8" ht="76.5" x14ac:dyDescent="0.25">
      <c r="A138" s="435">
        <v>44853</v>
      </c>
      <c r="B138" s="408" t="s">
        <v>1978</v>
      </c>
      <c r="C138" s="408" t="s">
        <v>2035</v>
      </c>
      <c r="D138" s="475" t="s">
        <v>1800</v>
      </c>
      <c r="E138" s="408" t="s">
        <v>2036</v>
      </c>
      <c r="F138" s="408" t="s">
        <v>1798</v>
      </c>
      <c r="G138" s="424" t="s">
        <v>1596</v>
      </c>
      <c r="H138" s="426">
        <v>66039.88</v>
      </c>
    </row>
    <row r="139" spans="1:8" ht="76.5" x14ac:dyDescent="0.25">
      <c r="A139" s="435">
        <v>44853</v>
      </c>
      <c r="B139" s="408" t="s">
        <v>1978</v>
      </c>
      <c r="C139" s="408" t="s">
        <v>2037</v>
      </c>
      <c r="D139" s="475" t="s">
        <v>1800</v>
      </c>
      <c r="E139" s="408" t="s">
        <v>2038</v>
      </c>
      <c r="F139" s="408" t="s">
        <v>1798</v>
      </c>
      <c r="G139" s="424" t="s">
        <v>1596</v>
      </c>
      <c r="H139" s="426">
        <v>66039.88</v>
      </c>
    </row>
    <row r="140" spans="1:8" ht="76.5" x14ac:dyDescent="0.25">
      <c r="A140" s="435">
        <v>44853</v>
      </c>
      <c r="B140" s="408" t="s">
        <v>1978</v>
      </c>
      <c r="C140" s="436" t="s">
        <v>2039</v>
      </c>
      <c r="D140" s="475" t="s">
        <v>1800</v>
      </c>
      <c r="E140" s="408" t="s">
        <v>2040</v>
      </c>
      <c r="F140" s="408" t="s">
        <v>1798</v>
      </c>
      <c r="G140" s="424" t="s">
        <v>1596</v>
      </c>
      <c r="H140" s="426">
        <v>66039.88</v>
      </c>
    </row>
    <row r="141" spans="1:8" ht="76.5" x14ac:dyDescent="0.25">
      <c r="A141" s="435">
        <v>44883</v>
      </c>
      <c r="B141" s="408" t="s">
        <v>2041</v>
      </c>
      <c r="C141" s="408" t="s">
        <v>2042</v>
      </c>
      <c r="D141" s="423" t="s">
        <v>2043</v>
      </c>
      <c r="E141" s="437">
        <v>202205061512</v>
      </c>
      <c r="F141" s="408" t="s">
        <v>1798</v>
      </c>
      <c r="G141" s="424" t="s">
        <v>1596</v>
      </c>
      <c r="H141" s="426">
        <v>4956</v>
      </c>
    </row>
    <row r="142" spans="1:8" ht="76.5" x14ac:dyDescent="0.25">
      <c r="A142" s="435">
        <v>44883</v>
      </c>
      <c r="B142" s="408" t="s">
        <v>2041</v>
      </c>
      <c r="C142" s="408" t="s">
        <v>2045</v>
      </c>
      <c r="D142" s="423" t="s">
        <v>2043</v>
      </c>
      <c r="E142" s="437">
        <v>202205061028</v>
      </c>
      <c r="F142" s="408" t="s">
        <v>1798</v>
      </c>
      <c r="G142" s="424" t="s">
        <v>1596</v>
      </c>
      <c r="H142" s="426">
        <v>4956</v>
      </c>
    </row>
    <row r="143" spans="1:8" ht="76.5" x14ac:dyDescent="0.25">
      <c r="A143" s="435">
        <v>44883</v>
      </c>
      <c r="B143" s="408" t="s">
        <v>2041</v>
      </c>
      <c r="C143" s="408" t="s">
        <v>2046</v>
      </c>
      <c r="D143" s="423" t="s">
        <v>2043</v>
      </c>
      <c r="E143" s="437">
        <v>202205061485</v>
      </c>
      <c r="F143" s="408" t="s">
        <v>1798</v>
      </c>
      <c r="G143" s="424" t="s">
        <v>1596</v>
      </c>
      <c r="H143" s="426">
        <v>4956</v>
      </c>
    </row>
    <row r="144" spans="1:8" ht="76.5" x14ac:dyDescent="0.25">
      <c r="A144" s="435">
        <v>44883</v>
      </c>
      <c r="B144" s="408" t="s">
        <v>2041</v>
      </c>
      <c r="C144" s="408" t="s">
        <v>2047</v>
      </c>
      <c r="D144" s="423" t="s">
        <v>2043</v>
      </c>
      <c r="E144" s="437">
        <v>202205061046</v>
      </c>
      <c r="F144" s="408" t="s">
        <v>1798</v>
      </c>
      <c r="G144" s="424" t="s">
        <v>1596</v>
      </c>
      <c r="H144" s="426">
        <v>4956</v>
      </c>
    </row>
    <row r="145" spans="1:8" ht="76.5" x14ac:dyDescent="0.25">
      <c r="A145" s="435">
        <v>44883</v>
      </c>
      <c r="B145" s="408" t="s">
        <v>2041</v>
      </c>
      <c r="C145" s="408" t="s">
        <v>2048</v>
      </c>
      <c r="D145" s="423" t="s">
        <v>2043</v>
      </c>
      <c r="E145" s="437">
        <v>202205061500</v>
      </c>
      <c r="F145" s="408" t="s">
        <v>1798</v>
      </c>
      <c r="G145" s="424" t="s">
        <v>1596</v>
      </c>
      <c r="H145" s="426">
        <v>4956</v>
      </c>
    </row>
    <row r="146" spans="1:8" ht="76.5" x14ac:dyDescent="0.25">
      <c r="A146" s="435">
        <v>44883</v>
      </c>
      <c r="B146" s="408" t="s">
        <v>2041</v>
      </c>
      <c r="C146" s="408" t="s">
        <v>2049</v>
      </c>
      <c r="D146" s="423" t="s">
        <v>2043</v>
      </c>
      <c r="E146" s="437">
        <v>202205061476</v>
      </c>
      <c r="F146" s="408" t="s">
        <v>1798</v>
      </c>
      <c r="G146" s="424" t="s">
        <v>1596</v>
      </c>
      <c r="H146" s="426">
        <v>4956</v>
      </c>
    </row>
    <row r="147" spans="1:8" ht="76.5" x14ac:dyDescent="0.25">
      <c r="A147" s="435">
        <v>44883</v>
      </c>
      <c r="B147" s="408" t="s">
        <v>2041</v>
      </c>
      <c r="C147" s="408" t="s">
        <v>2051</v>
      </c>
      <c r="D147" s="423" t="s">
        <v>2043</v>
      </c>
      <c r="E147" s="437">
        <v>202205061492</v>
      </c>
      <c r="F147" s="408" t="s">
        <v>1798</v>
      </c>
      <c r="G147" s="424" t="s">
        <v>1596</v>
      </c>
      <c r="H147" s="426">
        <v>4956</v>
      </c>
    </row>
    <row r="148" spans="1:8" ht="76.5" x14ac:dyDescent="0.25">
      <c r="A148" s="435">
        <v>44883</v>
      </c>
      <c r="B148" s="408" t="s">
        <v>2041</v>
      </c>
      <c r="C148" s="408" t="s">
        <v>2052</v>
      </c>
      <c r="D148" s="423" t="s">
        <v>2043</v>
      </c>
      <c r="E148" s="437">
        <v>202205061502</v>
      </c>
      <c r="F148" s="408" t="s">
        <v>1798</v>
      </c>
      <c r="G148" s="424" t="s">
        <v>1596</v>
      </c>
      <c r="H148" s="426">
        <v>4956</v>
      </c>
    </row>
    <row r="149" spans="1:8" ht="76.5" x14ac:dyDescent="0.25">
      <c r="A149" s="435">
        <v>44883</v>
      </c>
      <c r="B149" s="408" t="s">
        <v>2041</v>
      </c>
      <c r="C149" s="408" t="s">
        <v>2053</v>
      </c>
      <c r="D149" s="423" t="s">
        <v>2043</v>
      </c>
      <c r="E149" s="437">
        <v>202205061473</v>
      </c>
      <c r="F149" s="408" t="s">
        <v>1798</v>
      </c>
      <c r="G149" s="424" t="s">
        <v>1596</v>
      </c>
      <c r="H149" s="426">
        <v>4956</v>
      </c>
    </row>
    <row r="150" spans="1:8" ht="76.5" x14ac:dyDescent="0.25">
      <c r="A150" s="435">
        <v>44883</v>
      </c>
      <c r="B150" s="408" t="s">
        <v>2041</v>
      </c>
      <c r="C150" s="408" t="s">
        <v>2054</v>
      </c>
      <c r="D150" s="423" t="s">
        <v>2043</v>
      </c>
      <c r="E150" s="437">
        <v>202205061499</v>
      </c>
      <c r="F150" s="408" t="s">
        <v>1798</v>
      </c>
      <c r="G150" s="424" t="s">
        <v>1596</v>
      </c>
      <c r="H150" s="426">
        <v>4956</v>
      </c>
    </row>
    <row r="151" spans="1:8" ht="76.5" x14ac:dyDescent="0.25">
      <c r="A151" s="435">
        <v>44883</v>
      </c>
      <c r="B151" s="408" t="s">
        <v>2041</v>
      </c>
      <c r="C151" s="408" t="s">
        <v>2055</v>
      </c>
      <c r="D151" s="423" t="s">
        <v>2043</v>
      </c>
      <c r="E151" s="437">
        <v>202205061510</v>
      </c>
      <c r="F151" s="408" t="s">
        <v>1798</v>
      </c>
      <c r="G151" s="424" t="s">
        <v>1596</v>
      </c>
      <c r="H151" s="426">
        <v>4956</v>
      </c>
    </row>
    <row r="152" spans="1:8" ht="76.5" x14ac:dyDescent="0.25">
      <c r="A152" s="435">
        <v>44883</v>
      </c>
      <c r="B152" s="408" t="s">
        <v>2041</v>
      </c>
      <c r="C152" s="408" t="s">
        <v>2056</v>
      </c>
      <c r="D152" s="423" t="s">
        <v>2043</v>
      </c>
      <c r="E152" s="437">
        <v>202205061017</v>
      </c>
      <c r="F152" s="408" t="s">
        <v>1798</v>
      </c>
      <c r="G152" s="424" t="s">
        <v>1596</v>
      </c>
      <c r="H152" s="426">
        <v>4956</v>
      </c>
    </row>
    <row r="153" spans="1:8" ht="76.5" x14ac:dyDescent="0.25">
      <c r="A153" s="435">
        <v>44883</v>
      </c>
      <c r="B153" s="408" t="s">
        <v>2041</v>
      </c>
      <c r="C153" s="408" t="s">
        <v>2057</v>
      </c>
      <c r="D153" s="423" t="s">
        <v>2043</v>
      </c>
      <c r="E153" s="437">
        <v>202205061026</v>
      </c>
      <c r="F153" s="408" t="s">
        <v>1798</v>
      </c>
      <c r="G153" s="424" t="s">
        <v>1596</v>
      </c>
      <c r="H153" s="426">
        <v>4956</v>
      </c>
    </row>
    <row r="154" spans="1:8" ht="76.5" x14ac:dyDescent="0.25">
      <c r="A154" s="435">
        <v>44883</v>
      </c>
      <c r="B154" s="408" t="s">
        <v>2041</v>
      </c>
      <c r="C154" s="408" t="s">
        <v>2058</v>
      </c>
      <c r="D154" s="423" t="s">
        <v>2043</v>
      </c>
      <c r="E154" s="437">
        <v>202205061508</v>
      </c>
      <c r="F154" s="408" t="s">
        <v>1798</v>
      </c>
      <c r="G154" s="424" t="s">
        <v>1596</v>
      </c>
      <c r="H154" s="426">
        <v>4956</v>
      </c>
    </row>
    <row r="155" spans="1:8" ht="76.5" x14ac:dyDescent="0.25">
      <c r="A155" s="435">
        <v>44883</v>
      </c>
      <c r="B155" s="408" t="s">
        <v>2041</v>
      </c>
      <c r="C155" s="408" t="s">
        <v>2059</v>
      </c>
      <c r="D155" s="423" t="s">
        <v>2043</v>
      </c>
      <c r="E155" s="437">
        <v>202205061477</v>
      </c>
      <c r="F155" s="408" t="s">
        <v>1798</v>
      </c>
      <c r="G155" s="424" t="s">
        <v>1596</v>
      </c>
      <c r="H155" s="426">
        <v>4956</v>
      </c>
    </row>
    <row r="156" spans="1:8" ht="76.5" x14ac:dyDescent="0.25">
      <c r="A156" s="435">
        <v>44883</v>
      </c>
      <c r="B156" s="408" t="s">
        <v>2041</v>
      </c>
      <c r="C156" s="408" t="s">
        <v>2060</v>
      </c>
      <c r="D156" s="423" t="s">
        <v>2043</v>
      </c>
      <c r="E156" s="437">
        <v>202205061504</v>
      </c>
      <c r="F156" s="408" t="s">
        <v>1798</v>
      </c>
      <c r="G156" s="424" t="s">
        <v>1596</v>
      </c>
      <c r="H156" s="426">
        <v>4956</v>
      </c>
    </row>
    <row r="157" spans="1:8" ht="76.5" x14ac:dyDescent="0.25">
      <c r="A157" s="435">
        <v>44883</v>
      </c>
      <c r="B157" s="408" t="s">
        <v>2041</v>
      </c>
      <c r="C157" s="408" t="s">
        <v>2061</v>
      </c>
      <c r="D157" s="423" t="s">
        <v>2043</v>
      </c>
      <c r="E157" s="437">
        <v>202205061048</v>
      </c>
      <c r="F157" s="408" t="s">
        <v>1798</v>
      </c>
      <c r="G157" s="424" t="s">
        <v>1596</v>
      </c>
      <c r="H157" s="426">
        <v>4956</v>
      </c>
    </row>
    <row r="158" spans="1:8" ht="76.5" x14ac:dyDescent="0.25">
      <c r="A158" s="435">
        <v>44883</v>
      </c>
      <c r="B158" s="408" t="s">
        <v>2041</v>
      </c>
      <c r="C158" s="408" t="s">
        <v>2062</v>
      </c>
      <c r="D158" s="423" t="s">
        <v>2043</v>
      </c>
      <c r="E158" s="437">
        <v>202205061020</v>
      </c>
      <c r="F158" s="408" t="s">
        <v>1798</v>
      </c>
      <c r="G158" s="424" t="s">
        <v>1596</v>
      </c>
      <c r="H158" s="426">
        <v>4956</v>
      </c>
    </row>
    <row r="159" spans="1:8" ht="76.5" x14ac:dyDescent="0.25">
      <c r="A159" s="435">
        <v>44883</v>
      </c>
      <c r="B159" s="408" t="s">
        <v>2041</v>
      </c>
      <c r="C159" s="408" t="s">
        <v>2063</v>
      </c>
      <c r="D159" s="423" t="s">
        <v>2043</v>
      </c>
      <c r="E159" s="437">
        <v>202205061019</v>
      </c>
      <c r="F159" s="408" t="s">
        <v>1798</v>
      </c>
      <c r="G159" s="424" t="s">
        <v>1596</v>
      </c>
      <c r="H159" s="426">
        <v>4956</v>
      </c>
    </row>
    <row r="160" spans="1:8" ht="76.5" x14ac:dyDescent="0.25">
      <c r="A160" s="435">
        <v>44883</v>
      </c>
      <c r="B160" s="408" t="s">
        <v>2041</v>
      </c>
      <c r="C160" s="408" t="s">
        <v>2064</v>
      </c>
      <c r="D160" s="423" t="s">
        <v>2043</v>
      </c>
      <c r="E160" s="437">
        <v>202205061509</v>
      </c>
      <c r="F160" s="408" t="s">
        <v>1798</v>
      </c>
      <c r="G160" s="424" t="s">
        <v>1596</v>
      </c>
      <c r="H160" s="426">
        <v>4956</v>
      </c>
    </row>
    <row r="161" spans="1:8" ht="76.5" x14ac:dyDescent="0.25">
      <c r="A161" s="435">
        <v>44883</v>
      </c>
      <c r="B161" s="408" t="s">
        <v>2041</v>
      </c>
      <c r="C161" s="408" t="s">
        <v>2065</v>
      </c>
      <c r="D161" s="423" t="s">
        <v>2043</v>
      </c>
      <c r="E161" s="437">
        <v>202205061479</v>
      </c>
      <c r="F161" s="408" t="s">
        <v>1798</v>
      </c>
      <c r="G161" s="424" t="s">
        <v>1596</v>
      </c>
      <c r="H161" s="426">
        <v>4956</v>
      </c>
    </row>
    <row r="162" spans="1:8" ht="76.5" x14ac:dyDescent="0.25">
      <c r="A162" s="435">
        <v>44883</v>
      </c>
      <c r="B162" s="408" t="s">
        <v>2041</v>
      </c>
      <c r="C162" s="408" t="s">
        <v>2066</v>
      </c>
      <c r="D162" s="423" t="s">
        <v>2043</v>
      </c>
      <c r="E162" s="437">
        <v>202205061481</v>
      </c>
      <c r="F162" s="408" t="s">
        <v>1798</v>
      </c>
      <c r="G162" s="424" t="s">
        <v>1596</v>
      </c>
      <c r="H162" s="426">
        <v>4956</v>
      </c>
    </row>
    <row r="163" spans="1:8" ht="76.5" x14ac:dyDescent="0.25">
      <c r="A163" s="435">
        <v>44883</v>
      </c>
      <c r="B163" s="408" t="s">
        <v>2041</v>
      </c>
      <c r="C163" s="408" t="s">
        <v>2067</v>
      </c>
      <c r="D163" s="423" t="s">
        <v>2043</v>
      </c>
      <c r="E163" s="437">
        <v>202205061496</v>
      </c>
      <c r="F163" s="408" t="s">
        <v>1798</v>
      </c>
      <c r="G163" s="424" t="s">
        <v>1596</v>
      </c>
      <c r="H163" s="426">
        <v>4956</v>
      </c>
    </row>
    <row r="164" spans="1:8" ht="76.5" x14ac:dyDescent="0.25">
      <c r="A164" s="435">
        <v>44883</v>
      </c>
      <c r="B164" s="408" t="s">
        <v>2041</v>
      </c>
      <c r="C164" s="408" t="s">
        <v>2068</v>
      </c>
      <c r="D164" s="423" t="s">
        <v>2043</v>
      </c>
      <c r="E164" s="437">
        <v>202205061503</v>
      </c>
      <c r="F164" s="408" t="s">
        <v>1798</v>
      </c>
      <c r="G164" s="424" t="s">
        <v>1596</v>
      </c>
      <c r="H164" s="426">
        <v>4956</v>
      </c>
    </row>
    <row r="165" spans="1:8" ht="76.5" x14ac:dyDescent="0.25">
      <c r="A165" s="435">
        <v>44883</v>
      </c>
      <c r="B165" s="408" t="s">
        <v>2041</v>
      </c>
      <c r="C165" s="408" t="s">
        <v>2069</v>
      </c>
      <c r="D165" s="423" t="s">
        <v>2043</v>
      </c>
      <c r="E165" s="437">
        <v>202205061497</v>
      </c>
      <c r="F165" s="408" t="s">
        <v>1798</v>
      </c>
      <c r="G165" s="424" t="s">
        <v>1596</v>
      </c>
      <c r="H165" s="426">
        <v>4956</v>
      </c>
    </row>
    <row r="166" spans="1:8" ht="76.5" x14ac:dyDescent="0.25">
      <c r="A166" s="435">
        <v>44883</v>
      </c>
      <c r="B166" s="408" t="s">
        <v>2041</v>
      </c>
      <c r="C166" s="408" t="s">
        <v>2070</v>
      </c>
      <c r="D166" s="423" t="s">
        <v>2043</v>
      </c>
      <c r="E166" s="437">
        <v>202205061027</v>
      </c>
      <c r="F166" s="408" t="s">
        <v>1798</v>
      </c>
      <c r="G166" s="424" t="s">
        <v>1596</v>
      </c>
      <c r="H166" s="426">
        <v>4956</v>
      </c>
    </row>
    <row r="167" spans="1:8" ht="76.5" x14ac:dyDescent="0.25">
      <c r="A167" s="435">
        <v>44883</v>
      </c>
      <c r="B167" s="408" t="s">
        <v>2041</v>
      </c>
      <c r="C167" s="408" t="s">
        <v>2071</v>
      </c>
      <c r="D167" s="423" t="s">
        <v>2043</v>
      </c>
      <c r="E167" s="437">
        <v>202205061507</v>
      </c>
      <c r="F167" s="408" t="s">
        <v>1798</v>
      </c>
      <c r="G167" s="424" t="s">
        <v>1596</v>
      </c>
      <c r="H167" s="426">
        <v>4956</v>
      </c>
    </row>
    <row r="168" spans="1:8" ht="76.5" x14ac:dyDescent="0.25">
      <c r="A168" s="435">
        <v>44883</v>
      </c>
      <c r="B168" s="408" t="s">
        <v>2041</v>
      </c>
      <c r="C168" s="408" t="s">
        <v>2072</v>
      </c>
      <c r="D168" s="423" t="s">
        <v>2043</v>
      </c>
      <c r="E168" s="437">
        <v>202205061498</v>
      </c>
      <c r="F168" s="408" t="s">
        <v>1798</v>
      </c>
      <c r="G168" s="424" t="s">
        <v>1596</v>
      </c>
      <c r="H168" s="426">
        <v>4956</v>
      </c>
    </row>
    <row r="169" spans="1:8" ht="76.5" x14ac:dyDescent="0.25">
      <c r="A169" s="435">
        <v>44883</v>
      </c>
      <c r="B169" s="408" t="s">
        <v>2041</v>
      </c>
      <c r="C169" s="408" t="s">
        <v>2073</v>
      </c>
      <c r="D169" s="423" t="s">
        <v>2043</v>
      </c>
      <c r="E169" s="437">
        <v>202205061043</v>
      </c>
      <c r="F169" s="408" t="s">
        <v>1798</v>
      </c>
      <c r="G169" s="424" t="s">
        <v>1596</v>
      </c>
      <c r="H169" s="426">
        <v>4956</v>
      </c>
    </row>
    <row r="170" spans="1:8" ht="76.5" x14ac:dyDescent="0.25">
      <c r="A170" s="435">
        <v>44883</v>
      </c>
      <c r="B170" s="408" t="s">
        <v>2041</v>
      </c>
      <c r="C170" s="408" t="s">
        <v>2074</v>
      </c>
      <c r="D170" s="423" t="s">
        <v>2043</v>
      </c>
      <c r="E170" s="437">
        <v>202205061493</v>
      </c>
      <c r="F170" s="408" t="s">
        <v>1798</v>
      </c>
      <c r="G170" s="424" t="s">
        <v>1596</v>
      </c>
      <c r="H170" s="426">
        <v>4956</v>
      </c>
    </row>
    <row r="171" spans="1:8" ht="76.5" x14ac:dyDescent="0.25">
      <c r="A171" s="435">
        <v>44883</v>
      </c>
      <c r="B171" s="408" t="s">
        <v>2041</v>
      </c>
      <c r="C171" s="408" t="s">
        <v>2075</v>
      </c>
      <c r="D171" s="423" t="s">
        <v>2043</v>
      </c>
      <c r="E171" s="437">
        <v>202205061475</v>
      </c>
      <c r="F171" s="408" t="s">
        <v>1798</v>
      </c>
      <c r="G171" s="424" t="s">
        <v>1596</v>
      </c>
      <c r="H171" s="426">
        <v>4956</v>
      </c>
    </row>
    <row r="172" spans="1:8" ht="76.5" x14ac:dyDescent="0.25">
      <c r="A172" s="435">
        <v>44883</v>
      </c>
      <c r="B172" s="408" t="s">
        <v>2041</v>
      </c>
      <c r="C172" s="408" t="s">
        <v>2076</v>
      </c>
      <c r="D172" s="423" t="s">
        <v>2043</v>
      </c>
      <c r="E172" s="437">
        <v>202205061478</v>
      </c>
      <c r="F172" s="408" t="s">
        <v>1798</v>
      </c>
      <c r="G172" s="424" t="s">
        <v>1596</v>
      </c>
      <c r="H172" s="426">
        <v>4956</v>
      </c>
    </row>
    <row r="173" spans="1:8" ht="76.5" x14ac:dyDescent="0.25">
      <c r="A173" s="435">
        <v>44883</v>
      </c>
      <c r="B173" s="408" t="s">
        <v>2041</v>
      </c>
      <c r="C173" s="408" t="s">
        <v>2077</v>
      </c>
      <c r="D173" s="423" t="s">
        <v>2043</v>
      </c>
      <c r="E173" s="437">
        <v>202205061511</v>
      </c>
      <c r="F173" s="408" t="s">
        <v>1798</v>
      </c>
      <c r="G173" s="424" t="s">
        <v>1596</v>
      </c>
      <c r="H173" s="426">
        <v>4956</v>
      </c>
    </row>
    <row r="174" spans="1:8" ht="76.5" x14ac:dyDescent="0.25">
      <c r="A174" s="435">
        <v>44883</v>
      </c>
      <c r="B174" s="408" t="s">
        <v>2041</v>
      </c>
      <c r="C174" s="408" t="s">
        <v>2078</v>
      </c>
      <c r="D174" s="423" t="s">
        <v>2043</v>
      </c>
      <c r="E174" s="437">
        <v>202205061490</v>
      </c>
      <c r="F174" s="408" t="s">
        <v>1798</v>
      </c>
      <c r="G174" s="424" t="s">
        <v>1596</v>
      </c>
      <c r="H174" s="426">
        <v>4956</v>
      </c>
    </row>
    <row r="175" spans="1:8" ht="76.5" x14ac:dyDescent="0.25">
      <c r="A175" s="435">
        <v>44883</v>
      </c>
      <c r="B175" s="408" t="s">
        <v>2041</v>
      </c>
      <c r="C175" s="408" t="s">
        <v>2079</v>
      </c>
      <c r="D175" s="423" t="s">
        <v>2043</v>
      </c>
      <c r="E175" s="437">
        <v>202205061484</v>
      </c>
      <c r="F175" s="408" t="s">
        <v>1798</v>
      </c>
      <c r="G175" s="424" t="s">
        <v>1596</v>
      </c>
      <c r="H175" s="426">
        <v>4956</v>
      </c>
    </row>
    <row r="176" spans="1:8" ht="76.5" x14ac:dyDescent="0.25">
      <c r="A176" s="435">
        <v>44883</v>
      </c>
      <c r="B176" s="408" t="s">
        <v>2041</v>
      </c>
      <c r="C176" s="408" t="s">
        <v>2080</v>
      </c>
      <c r="D176" s="423" t="s">
        <v>2043</v>
      </c>
      <c r="E176" s="437">
        <v>202205061472</v>
      </c>
      <c r="F176" s="408" t="s">
        <v>1798</v>
      </c>
      <c r="G176" s="424" t="s">
        <v>1596</v>
      </c>
      <c r="H176" s="426">
        <v>4956</v>
      </c>
    </row>
    <row r="177" spans="1:8" ht="76.5" x14ac:dyDescent="0.25">
      <c r="A177" s="435">
        <v>44883</v>
      </c>
      <c r="B177" s="408" t="s">
        <v>2041</v>
      </c>
      <c r="C177" s="408" t="s">
        <v>2081</v>
      </c>
      <c r="D177" s="423" t="s">
        <v>2043</v>
      </c>
      <c r="E177" s="437">
        <v>202205061501</v>
      </c>
      <c r="F177" s="408" t="s">
        <v>1798</v>
      </c>
      <c r="G177" s="424" t="s">
        <v>1596</v>
      </c>
      <c r="H177" s="426">
        <v>4956</v>
      </c>
    </row>
    <row r="178" spans="1:8" ht="76.5" x14ac:dyDescent="0.25">
      <c r="A178" s="435">
        <v>44883</v>
      </c>
      <c r="B178" s="408" t="s">
        <v>2041</v>
      </c>
      <c r="C178" s="408" t="s">
        <v>2082</v>
      </c>
      <c r="D178" s="423" t="s">
        <v>2043</v>
      </c>
      <c r="E178" s="437">
        <v>202205061495</v>
      </c>
      <c r="F178" s="408" t="s">
        <v>1798</v>
      </c>
      <c r="G178" s="424" t="s">
        <v>1596</v>
      </c>
      <c r="H178" s="426">
        <v>4956</v>
      </c>
    </row>
    <row r="179" spans="1:8" ht="76.5" x14ac:dyDescent="0.25">
      <c r="A179" s="435">
        <v>44883</v>
      </c>
      <c r="B179" s="408" t="s">
        <v>2041</v>
      </c>
      <c r="C179" s="408" t="s">
        <v>2083</v>
      </c>
      <c r="D179" s="423" t="s">
        <v>2043</v>
      </c>
      <c r="E179" s="437">
        <v>202205061505</v>
      </c>
      <c r="F179" s="408" t="s">
        <v>1798</v>
      </c>
      <c r="G179" s="424" t="s">
        <v>1596</v>
      </c>
      <c r="H179" s="426">
        <v>4956</v>
      </c>
    </row>
    <row r="180" spans="1:8" ht="76.5" x14ac:dyDescent="0.25">
      <c r="A180" s="435">
        <v>44883</v>
      </c>
      <c r="B180" s="408" t="s">
        <v>2041</v>
      </c>
      <c r="C180" s="408" t="s">
        <v>2084</v>
      </c>
      <c r="D180" s="423" t="s">
        <v>2043</v>
      </c>
      <c r="E180" s="437">
        <v>202205061486</v>
      </c>
      <c r="F180" s="408" t="s">
        <v>1798</v>
      </c>
      <c r="G180" s="424" t="s">
        <v>1596</v>
      </c>
      <c r="H180" s="426">
        <v>4956</v>
      </c>
    </row>
    <row r="181" spans="1:8" ht="76.5" x14ac:dyDescent="0.25">
      <c r="A181" s="435">
        <v>44883</v>
      </c>
      <c r="B181" s="408" t="s">
        <v>2041</v>
      </c>
      <c r="C181" s="408" t="s">
        <v>2085</v>
      </c>
      <c r="D181" s="423" t="s">
        <v>2043</v>
      </c>
      <c r="E181" s="437">
        <v>202205061489</v>
      </c>
      <c r="F181" s="408" t="s">
        <v>1798</v>
      </c>
      <c r="G181" s="424" t="s">
        <v>1596</v>
      </c>
      <c r="H181" s="426">
        <v>4956</v>
      </c>
    </row>
    <row r="182" spans="1:8" ht="76.5" x14ac:dyDescent="0.25">
      <c r="A182" s="435">
        <v>44883</v>
      </c>
      <c r="B182" s="408" t="s">
        <v>2041</v>
      </c>
      <c r="C182" s="408" t="s">
        <v>2086</v>
      </c>
      <c r="D182" s="423" t="s">
        <v>2043</v>
      </c>
      <c r="E182" s="437">
        <v>202205061506</v>
      </c>
      <c r="F182" s="408" t="s">
        <v>1798</v>
      </c>
      <c r="G182" s="424" t="s">
        <v>1596</v>
      </c>
      <c r="H182" s="426">
        <v>4956</v>
      </c>
    </row>
    <row r="183" spans="1:8" ht="76.5" x14ac:dyDescent="0.25">
      <c r="A183" s="435">
        <v>44883</v>
      </c>
      <c r="B183" s="408" t="s">
        <v>2041</v>
      </c>
      <c r="C183" s="408" t="s">
        <v>2087</v>
      </c>
      <c r="D183" s="423" t="s">
        <v>2043</v>
      </c>
      <c r="E183" s="437">
        <v>202205061487</v>
      </c>
      <c r="F183" s="408" t="s">
        <v>1798</v>
      </c>
      <c r="G183" s="424" t="s">
        <v>1596</v>
      </c>
      <c r="H183" s="426">
        <v>4956</v>
      </c>
    </row>
    <row r="184" spans="1:8" ht="76.5" x14ac:dyDescent="0.25">
      <c r="A184" s="435">
        <v>44883</v>
      </c>
      <c r="B184" s="408" t="s">
        <v>2041</v>
      </c>
      <c r="C184" s="408" t="s">
        <v>2088</v>
      </c>
      <c r="D184" s="423" t="s">
        <v>2043</v>
      </c>
      <c r="E184" s="437">
        <v>202205061032</v>
      </c>
      <c r="F184" s="408" t="s">
        <v>1798</v>
      </c>
      <c r="G184" s="424" t="s">
        <v>1596</v>
      </c>
      <c r="H184" s="426">
        <v>4956</v>
      </c>
    </row>
    <row r="185" spans="1:8" ht="76.5" x14ac:dyDescent="0.25">
      <c r="A185" s="435">
        <v>44883</v>
      </c>
      <c r="B185" s="408" t="s">
        <v>2041</v>
      </c>
      <c r="C185" s="408" t="s">
        <v>2089</v>
      </c>
      <c r="D185" s="423" t="s">
        <v>2043</v>
      </c>
      <c r="E185" s="437">
        <v>202205061491</v>
      </c>
      <c r="F185" s="408" t="s">
        <v>1798</v>
      </c>
      <c r="G185" s="424" t="s">
        <v>1596</v>
      </c>
      <c r="H185" s="426">
        <v>4956</v>
      </c>
    </row>
    <row r="186" spans="1:8" ht="76.5" x14ac:dyDescent="0.25">
      <c r="A186" s="435">
        <v>44883</v>
      </c>
      <c r="B186" s="408" t="s">
        <v>2041</v>
      </c>
      <c r="C186" s="408" t="s">
        <v>2090</v>
      </c>
      <c r="D186" s="423" t="s">
        <v>2043</v>
      </c>
      <c r="E186" s="437">
        <v>202205061474</v>
      </c>
      <c r="F186" s="408" t="s">
        <v>1798</v>
      </c>
      <c r="G186" s="424" t="s">
        <v>1596</v>
      </c>
      <c r="H186" s="426">
        <v>4956</v>
      </c>
    </row>
    <row r="187" spans="1:8" ht="76.5" x14ac:dyDescent="0.25">
      <c r="A187" s="435">
        <v>44883</v>
      </c>
      <c r="B187" s="408" t="s">
        <v>2041</v>
      </c>
      <c r="C187" s="408" t="s">
        <v>2091</v>
      </c>
      <c r="D187" s="423" t="s">
        <v>2043</v>
      </c>
      <c r="E187" s="437">
        <v>202205061471</v>
      </c>
      <c r="F187" s="408" t="s">
        <v>1798</v>
      </c>
      <c r="G187" s="424" t="s">
        <v>1596</v>
      </c>
      <c r="H187" s="426">
        <v>4956</v>
      </c>
    </row>
    <row r="188" spans="1:8" ht="76.5" x14ac:dyDescent="0.25">
      <c r="A188" s="435">
        <v>44883</v>
      </c>
      <c r="B188" s="408" t="s">
        <v>2041</v>
      </c>
      <c r="C188" s="408" t="s">
        <v>2092</v>
      </c>
      <c r="D188" s="423" t="s">
        <v>2043</v>
      </c>
      <c r="E188" s="437">
        <v>202205061494</v>
      </c>
      <c r="F188" s="408" t="s">
        <v>1798</v>
      </c>
      <c r="G188" s="424" t="s">
        <v>1596</v>
      </c>
      <c r="H188" s="426">
        <v>4956</v>
      </c>
    </row>
    <row r="189" spans="1:8" ht="76.5" x14ac:dyDescent="0.25">
      <c r="A189" s="435">
        <v>44883</v>
      </c>
      <c r="B189" s="408" t="s">
        <v>2041</v>
      </c>
      <c r="C189" s="408" t="s">
        <v>2093</v>
      </c>
      <c r="D189" s="423" t="s">
        <v>2043</v>
      </c>
      <c r="E189" s="437">
        <v>202205061018</v>
      </c>
      <c r="F189" s="408" t="s">
        <v>1798</v>
      </c>
      <c r="G189" s="424" t="s">
        <v>1596</v>
      </c>
      <c r="H189" s="426">
        <v>4956</v>
      </c>
    </row>
    <row r="190" spans="1:8" ht="76.5" x14ac:dyDescent="0.25">
      <c r="A190" s="435">
        <v>44883</v>
      </c>
      <c r="B190" s="408" t="s">
        <v>2041</v>
      </c>
      <c r="C190" s="408" t="s">
        <v>2094</v>
      </c>
      <c r="D190" s="423" t="s">
        <v>2043</v>
      </c>
      <c r="E190" s="437">
        <v>202205061488</v>
      </c>
      <c r="F190" s="408" t="s">
        <v>1798</v>
      </c>
      <c r="G190" s="424" t="s">
        <v>1596</v>
      </c>
      <c r="H190" s="426">
        <v>4956</v>
      </c>
    </row>
    <row r="191" spans="1:8" ht="76.5" x14ac:dyDescent="0.25">
      <c r="A191" s="435">
        <v>44883</v>
      </c>
      <c r="B191" s="408" t="s">
        <v>2041</v>
      </c>
      <c r="C191" s="408" t="s">
        <v>2095</v>
      </c>
      <c r="D191" s="423" t="s">
        <v>2043</v>
      </c>
      <c r="E191" s="437">
        <v>202205061482</v>
      </c>
      <c r="F191" s="408" t="s">
        <v>1798</v>
      </c>
      <c r="G191" s="424" t="s">
        <v>1596</v>
      </c>
      <c r="H191" s="426">
        <v>4956</v>
      </c>
    </row>
    <row r="192" spans="1:8" ht="76.5" x14ac:dyDescent="0.25">
      <c r="A192" s="435">
        <v>44883</v>
      </c>
      <c r="B192" s="408" t="s">
        <v>2041</v>
      </c>
      <c r="C192" s="408" t="s">
        <v>2096</v>
      </c>
      <c r="D192" s="423" t="s">
        <v>2043</v>
      </c>
      <c r="E192" s="437">
        <v>202205061025</v>
      </c>
      <c r="F192" s="408" t="s">
        <v>1798</v>
      </c>
      <c r="G192" s="424" t="s">
        <v>1596</v>
      </c>
      <c r="H192" s="426">
        <v>4956</v>
      </c>
    </row>
    <row r="193" spans="1:8" ht="76.5" x14ac:dyDescent="0.25">
      <c r="A193" s="435">
        <v>44883</v>
      </c>
      <c r="B193" s="408" t="s">
        <v>2041</v>
      </c>
      <c r="C193" s="408" t="s">
        <v>2097</v>
      </c>
      <c r="D193" s="423" t="s">
        <v>2043</v>
      </c>
      <c r="E193" s="437">
        <v>202205061480</v>
      </c>
      <c r="F193" s="408" t="s">
        <v>1798</v>
      </c>
      <c r="G193" s="424" t="s">
        <v>1596</v>
      </c>
      <c r="H193" s="426">
        <v>4956</v>
      </c>
    </row>
    <row r="194" spans="1:8" ht="76.5" x14ac:dyDescent="0.25">
      <c r="A194" s="435">
        <v>44883</v>
      </c>
      <c r="B194" s="408" t="s">
        <v>2041</v>
      </c>
      <c r="C194" s="408" t="s">
        <v>2098</v>
      </c>
      <c r="D194" s="423" t="s">
        <v>2043</v>
      </c>
      <c r="E194" s="437">
        <v>202205061483</v>
      </c>
      <c r="F194" s="408" t="s">
        <v>1798</v>
      </c>
      <c r="G194" s="424" t="s">
        <v>1596</v>
      </c>
      <c r="H194" s="426">
        <v>4956</v>
      </c>
    </row>
    <row r="195" spans="1:8" ht="60" x14ac:dyDescent="0.25">
      <c r="A195" s="435">
        <v>44893</v>
      </c>
      <c r="B195" s="408" t="s">
        <v>2099</v>
      </c>
      <c r="C195" s="408" t="s">
        <v>2100</v>
      </c>
      <c r="D195" s="423" t="s">
        <v>2101</v>
      </c>
      <c r="E195" s="437" t="s">
        <v>28</v>
      </c>
      <c r="F195" s="471" t="s">
        <v>4101</v>
      </c>
      <c r="G195" s="473" t="s">
        <v>1445</v>
      </c>
      <c r="H195" s="426">
        <v>13983</v>
      </c>
    </row>
    <row r="196" spans="1:8" ht="60" x14ac:dyDescent="0.25">
      <c r="A196" s="435">
        <v>44893</v>
      </c>
      <c r="B196" s="408" t="s">
        <v>2099</v>
      </c>
      <c r="C196" s="408" t="s">
        <v>2103</v>
      </c>
      <c r="D196" s="423" t="s">
        <v>2101</v>
      </c>
      <c r="E196" s="437" t="s">
        <v>28</v>
      </c>
      <c r="F196" s="471" t="s">
        <v>4101</v>
      </c>
      <c r="G196" s="473" t="s">
        <v>1445</v>
      </c>
      <c r="H196" s="426">
        <v>13983</v>
      </c>
    </row>
    <row r="197" spans="1:8" ht="60" x14ac:dyDescent="0.25">
      <c r="A197" s="435">
        <v>44893</v>
      </c>
      <c r="B197" s="408" t="s">
        <v>2099</v>
      </c>
      <c r="C197" s="408" t="s">
        <v>2104</v>
      </c>
      <c r="D197" s="423" t="s">
        <v>2101</v>
      </c>
      <c r="E197" s="437" t="s">
        <v>28</v>
      </c>
      <c r="F197" s="471" t="s">
        <v>4101</v>
      </c>
      <c r="G197" s="473" t="s">
        <v>1445</v>
      </c>
      <c r="H197" s="426">
        <v>13983</v>
      </c>
    </row>
    <row r="198" spans="1:8" ht="60" x14ac:dyDescent="0.25">
      <c r="A198" s="435">
        <v>44893</v>
      </c>
      <c r="B198" s="408" t="s">
        <v>2099</v>
      </c>
      <c r="C198" s="408" t="s">
        <v>2105</v>
      </c>
      <c r="D198" s="423" t="s">
        <v>2101</v>
      </c>
      <c r="E198" s="437" t="s">
        <v>28</v>
      </c>
      <c r="F198" s="471" t="s">
        <v>4101</v>
      </c>
      <c r="G198" s="473" t="s">
        <v>1445</v>
      </c>
      <c r="H198" s="426">
        <v>13983</v>
      </c>
    </row>
    <row r="199" spans="1:8" ht="60" x14ac:dyDescent="0.25">
      <c r="A199" s="435">
        <v>44893</v>
      </c>
      <c r="B199" s="408" t="s">
        <v>2099</v>
      </c>
      <c r="C199" s="408" t="s">
        <v>2106</v>
      </c>
      <c r="D199" s="423" t="s">
        <v>2101</v>
      </c>
      <c r="E199" s="437" t="s">
        <v>28</v>
      </c>
      <c r="F199" s="471" t="s">
        <v>4101</v>
      </c>
      <c r="G199" s="473" t="s">
        <v>1445</v>
      </c>
      <c r="H199" s="426">
        <v>13983</v>
      </c>
    </row>
    <row r="200" spans="1:8" ht="60" x14ac:dyDescent="0.25">
      <c r="A200" s="435">
        <v>44893</v>
      </c>
      <c r="B200" s="408" t="s">
        <v>2099</v>
      </c>
      <c r="C200" s="408" t="s">
        <v>2107</v>
      </c>
      <c r="D200" s="423" t="s">
        <v>2101</v>
      </c>
      <c r="E200" s="437" t="s">
        <v>28</v>
      </c>
      <c r="F200" s="471" t="s">
        <v>4101</v>
      </c>
      <c r="G200" s="473" t="s">
        <v>1445</v>
      </c>
      <c r="H200" s="426">
        <v>13983</v>
      </c>
    </row>
    <row r="201" spans="1:8" ht="60" x14ac:dyDescent="0.25">
      <c r="A201" s="435">
        <v>44893</v>
      </c>
      <c r="B201" s="408" t="s">
        <v>2099</v>
      </c>
      <c r="C201" s="408" t="s">
        <v>2108</v>
      </c>
      <c r="D201" s="423" t="s">
        <v>2101</v>
      </c>
      <c r="E201" s="437" t="s">
        <v>28</v>
      </c>
      <c r="F201" s="471" t="s">
        <v>4107</v>
      </c>
      <c r="G201" s="473" t="s">
        <v>1445</v>
      </c>
      <c r="H201" s="426">
        <v>13983</v>
      </c>
    </row>
    <row r="202" spans="1:8" ht="60" x14ac:dyDescent="0.25">
      <c r="A202" s="435">
        <v>44893</v>
      </c>
      <c r="B202" s="408" t="s">
        <v>2099</v>
      </c>
      <c r="C202" s="408" t="s">
        <v>2109</v>
      </c>
      <c r="D202" s="423" t="s">
        <v>2101</v>
      </c>
      <c r="E202" s="437" t="s">
        <v>28</v>
      </c>
      <c r="F202" s="471" t="s">
        <v>4107</v>
      </c>
      <c r="G202" s="473" t="s">
        <v>1445</v>
      </c>
      <c r="H202" s="426">
        <v>13983</v>
      </c>
    </row>
    <row r="203" spans="1:8" ht="60" x14ac:dyDescent="0.25">
      <c r="A203" s="435">
        <v>44893</v>
      </c>
      <c r="B203" s="408" t="s">
        <v>2099</v>
      </c>
      <c r="C203" s="408" t="s">
        <v>2110</v>
      </c>
      <c r="D203" s="423" t="s">
        <v>2101</v>
      </c>
      <c r="E203" s="437" t="s">
        <v>28</v>
      </c>
      <c r="F203" s="471" t="s">
        <v>4107</v>
      </c>
      <c r="G203" s="473" t="s">
        <v>1445</v>
      </c>
      <c r="H203" s="426">
        <v>13983</v>
      </c>
    </row>
    <row r="204" spans="1:8" ht="45" x14ac:dyDescent="0.25">
      <c r="A204" s="435">
        <v>44893</v>
      </c>
      <c r="B204" s="408" t="s">
        <v>2099</v>
      </c>
      <c r="C204" s="408" t="s">
        <v>2111</v>
      </c>
      <c r="D204" s="423" t="s">
        <v>2101</v>
      </c>
      <c r="E204" s="437" t="s">
        <v>28</v>
      </c>
      <c r="F204" s="471" t="s">
        <v>4102</v>
      </c>
      <c r="G204" s="473" t="s">
        <v>4105</v>
      </c>
      <c r="H204" s="426">
        <v>13983</v>
      </c>
    </row>
    <row r="205" spans="1:8" ht="45" x14ac:dyDescent="0.25">
      <c r="A205" s="435">
        <v>44893</v>
      </c>
      <c r="B205" s="408" t="s">
        <v>2099</v>
      </c>
      <c r="C205" s="408" t="s">
        <v>2112</v>
      </c>
      <c r="D205" s="423" t="s">
        <v>2101</v>
      </c>
      <c r="E205" s="437" t="s">
        <v>28</v>
      </c>
      <c r="F205" s="471" t="s">
        <v>4102</v>
      </c>
      <c r="G205" s="473" t="s">
        <v>4105</v>
      </c>
      <c r="H205" s="426">
        <v>13983</v>
      </c>
    </row>
    <row r="206" spans="1:8" ht="45" x14ac:dyDescent="0.25">
      <c r="A206" s="435">
        <v>44893</v>
      </c>
      <c r="B206" s="408" t="s">
        <v>2099</v>
      </c>
      <c r="C206" s="408" t="s">
        <v>2113</v>
      </c>
      <c r="D206" s="423" t="s">
        <v>2101</v>
      </c>
      <c r="E206" s="437" t="s">
        <v>28</v>
      </c>
      <c r="F206" s="471" t="s">
        <v>4102</v>
      </c>
      <c r="G206" s="473" t="s">
        <v>4105</v>
      </c>
      <c r="H206" s="426">
        <v>13983</v>
      </c>
    </row>
    <row r="207" spans="1:8" ht="75" x14ac:dyDescent="0.25">
      <c r="A207" s="435">
        <v>44893</v>
      </c>
      <c r="B207" s="408" t="s">
        <v>2099</v>
      </c>
      <c r="C207" s="408" t="s">
        <v>2114</v>
      </c>
      <c r="D207" s="423" t="s">
        <v>2101</v>
      </c>
      <c r="E207" s="437" t="s">
        <v>28</v>
      </c>
      <c r="F207" s="471" t="s">
        <v>4103</v>
      </c>
      <c r="G207" s="473" t="s">
        <v>4105</v>
      </c>
      <c r="H207" s="426">
        <v>13983</v>
      </c>
    </row>
    <row r="208" spans="1:8" ht="75" x14ac:dyDescent="0.25">
      <c r="A208" s="435">
        <v>44893</v>
      </c>
      <c r="B208" s="408" t="s">
        <v>2099</v>
      </c>
      <c r="C208" s="408" t="s">
        <v>2115</v>
      </c>
      <c r="D208" s="423" t="s">
        <v>2101</v>
      </c>
      <c r="E208" s="437" t="s">
        <v>28</v>
      </c>
      <c r="F208" s="471" t="s">
        <v>4103</v>
      </c>
      <c r="G208" s="473" t="s">
        <v>4105</v>
      </c>
      <c r="H208" s="426">
        <v>13983</v>
      </c>
    </row>
    <row r="209" spans="1:8" ht="60" x14ac:dyDescent="0.25">
      <c r="A209" s="435">
        <v>44893</v>
      </c>
      <c r="B209" s="408" t="s">
        <v>2099</v>
      </c>
      <c r="C209" s="408" t="s">
        <v>2116</v>
      </c>
      <c r="D209" s="423" t="s">
        <v>2101</v>
      </c>
      <c r="E209" s="437" t="s">
        <v>28</v>
      </c>
      <c r="F209" s="471" t="s">
        <v>4104</v>
      </c>
      <c r="G209" s="473" t="s">
        <v>4105</v>
      </c>
      <c r="H209" s="426">
        <v>13983</v>
      </c>
    </row>
    <row r="210" spans="1:8" ht="60" x14ac:dyDescent="0.25">
      <c r="A210" s="435">
        <v>44893</v>
      </c>
      <c r="B210" s="408" t="s">
        <v>2099</v>
      </c>
      <c r="C210" s="408" t="s">
        <v>2117</v>
      </c>
      <c r="D210" s="423" t="s">
        <v>2101</v>
      </c>
      <c r="E210" s="437" t="s">
        <v>28</v>
      </c>
      <c r="F210" s="471" t="s">
        <v>4104</v>
      </c>
      <c r="G210" s="473" t="s">
        <v>4105</v>
      </c>
      <c r="H210" s="426">
        <v>13983</v>
      </c>
    </row>
    <row r="211" spans="1:8" ht="60" x14ac:dyDescent="0.25">
      <c r="A211" s="435">
        <v>44893</v>
      </c>
      <c r="B211" s="408" t="s">
        <v>2099</v>
      </c>
      <c r="C211" s="408" t="s">
        <v>2118</v>
      </c>
      <c r="D211" s="423" t="s">
        <v>2101</v>
      </c>
      <c r="E211" s="437" t="s">
        <v>28</v>
      </c>
      <c r="F211" s="471" t="s">
        <v>4104</v>
      </c>
      <c r="G211" s="473" t="s">
        <v>4105</v>
      </c>
      <c r="H211" s="426">
        <v>13983</v>
      </c>
    </row>
    <row r="212" spans="1:8" ht="75" x14ac:dyDescent="0.25">
      <c r="A212" s="435">
        <v>44893</v>
      </c>
      <c r="B212" s="408" t="s">
        <v>2099</v>
      </c>
      <c r="C212" s="408" t="s">
        <v>2119</v>
      </c>
      <c r="D212" s="423" t="s">
        <v>2120</v>
      </c>
      <c r="E212" s="437" t="s">
        <v>28</v>
      </c>
      <c r="F212" s="474" t="s">
        <v>4106</v>
      </c>
      <c r="G212" s="473" t="s">
        <v>1445</v>
      </c>
      <c r="H212" s="426">
        <v>11463.7</v>
      </c>
    </row>
    <row r="213" spans="1:8" ht="60" x14ac:dyDescent="0.25">
      <c r="A213" s="435">
        <v>44893</v>
      </c>
      <c r="B213" s="408" t="s">
        <v>2099</v>
      </c>
      <c r="C213" s="408" t="s">
        <v>2121</v>
      </c>
      <c r="D213" s="423" t="s">
        <v>2120</v>
      </c>
      <c r="E213" s="437" t="s">
        <v>28</v>
      </c>
      <c r="F213" s="471" t="s">
        <v>4107</v>
      </c>
      <c r="G213" s="473" t="s">
        <v>1445</v>
      </c>
      <c r="H213" s="426">
        <v>11463.7</v>
      </c>
    </row>
    <row r="214" spans="1:8" ht="60" x14ac:dyDescent="0.25">
      <c r="A214" s="435">
        <v>44893</v>
      </c>
      <c r="B214" s="408" t="s">
        <v>2099</v>
      </c>
      <c r="C214" s="408" t="s">
        <v>2122</v>
      </c>
      <c r="D214" s="423" t="s">
        <v>2120</v>
      </c>
      <c r="E214" s="437" t="s">
        <v>28</v>
      </c>
      <c r="F214" s="471" t="s">
        <v>4107</v>
      </c>
      <c r="G214" s="473" t="s">
        <v>1445</v>
      </c>
      <c r="H214" s="426">
        <v>11463.7</v>
      </c>
    </row>
    <row r="215" spans="1:8" ht="75" x14ac:dyDescent="0.25">
      <c r="A215" s="435">
        <v>44893</v>
      </c>
      <c r="B215" s="408" t="s">
        <v>2099</v>
      </c>
      <c r="C215" s="408" t="s">
        <v>2123</v>
      </c>
      <c r="D215" s="423" t="s">
        <v>2120</v>
      </c>
      <c r="E215" s="437" t="s">
        <v>28</v>
      </c>
      <c r="F215" s="471" t="s">
        <v>4103</v>
      </c>
      <c r="G215" s="473" t="s">
        <v>4105</v>
      </c>
      <c r="H215" s="426">
        <v>11463.7</v>
      </c>
    </row>
    <row r="216" spans="1:8" ht="25.5" x14ac:dyDescent="0.25">
      <c r="A216" s="435">
        <v>44921</v>
      </c>
      <c r="B216" s="408" t="s">
        <v>2124</v>
      </c>
      <c r="C216" s="408" t="s">
        <v>2125</v>
      </c>
      <c r="D216" s="423" t="s">
        <v>2126</v>
      </c>
      <c r="E216" s="437" t="s">
        <v>2127</v>
      </c>
      <c r="F216" s="408" t="s">
        <v>2128</v>
      </c>
      <c r="G216" s="424" t="s">
        <v>19</v>
      </c>
      <c r="H216" s="426">
        <v>51330.98</v>
      </c>
    </row>
    <row r="217" spans="1:8" ht="25.5" x14ac:dyDescent="0.25">
      <c r="A217" s="435">
        <v>44921</v>
      </c>
      <c r="B217" s="408" t="s">
        <v>2124</v>
      </c>
      <c r="C217" s="408" t="s">
        <v>2129</v>
      </c>
      <c r="D217" s="423" t="s">
        <v>2126</v>
      </c>
      <c r="E217" s="437" t="s">
        <v>2130</v>
      </c>
      <c r="F217" s="408" t="s">
        <v>2128</v>
      </c>
      <c r="G217" s="424" t="s">
        <v>19</v>
      </c>
      <c r="H217" s="426">
        <v>51330.97</v>
      </c>
    </row>
    <row r="218" spans="1:8" ht="63.75" x14ac:dyDescent="0.25">
      <c r="A218" s="435">
        <v>44921</v>
      </c>
      <c r="B218" s="408" t="s">
        <v>2124</v>
      </c>
      <c r="C218" s="438" t="s">
        <v>2131</v>
      </c>
      <c r="D218" s="423" t="s">
        <v>2132</v>
      </c>
      <c r="E218" s="437" t="s">
        <v>2133</v>
      </c>
      <c r="F218" s="408" t="s">
        <v>2134</v>
      </c>
      <c r="G218" s="424" t="s">
        <v>1596</v>
      </c>
      <c r="H218" s="426">
        <v>3850.96</v>
      </c>
    </row>
    <row r="219" spans="1:8" ht="63.75" x14ac:dyDescent="0.25">
      <c r="A219" s="435">
        <v>44921</v>
      </c>
      <c r="B219" s="408" t="s">
        <v>2124</v>
      </c>
      <c r="C219" s="438" t="s">
        <v>2135</v>
      </c>
      <c r="D219" s="423" t="s">
        <v>2132</v>
      </c>
      <c r="E219" s="437" t="s">
        <v>2136</v>
      </c>
      <c r="F219" s="408" t="s">
        <v>2134</v>
      </c>
      <c r="G219" s="424" t="s">
        <v>1596</v>
      </c>
      <c r="H219" s="426">
        <v>3850.96</v>
      </c>
    </row>
    <row r="220" spans="1:8" ht="63.75" x14ac:dyDescent="0.25">
      <c r="A220" s="435">
        <v>44921</v>
      </c>
      <c r="B220" s="408" t="s">
        <v>2124</v>
      </c>
      <c r="C220" s="438" t="s">
        <v>2137</v>
      </c>
      <c r="D220" s="423" t="s">
        <v>2132</v>
      </c>
      <c r="E220" s="437" t="s">
        <v>2138</v>
      </c>
      <c r="F220" s="408" t="s">
        <v>2134</v>
      </c>
      <c r="G220" s="424" t="s">
        <v>1596</v>
      </c>
      <c r="H220" s="426">
        <v>3850.96</v>
      </c>
    </row>
    <row r="221" spans="1:8" ht="63.75" x14ac:dyDescent="0.25">
      <c r="A221" s="435">
        <v>44921</v>
      </c>
      <c r="B221" s="408" t="s">
        <v>2124</v>
      </c>
      <c r="C221" s="438" t="s">
        <v>2139</v>
      </c>
      <c r="D221" s="423" t="s">
        <v>2132</v>
      </c>
      <c r="E221" s="437" t="s">
        <v>2140</v>
      </c>
      <c r="F221" s="408" t="s">
        <v>2134</v>
      </c>
      <c r="G221" s="424" t="s">
        <v>1596</v>
      </c>
      <c r="H221" s="426">
        <v>3850.96</v>
      </c>
    </row>
    <row r="222" spans="1:8" ht="63.75" x14ac:dyDescent="0.25">
      <c r="A222" s="435">
        <v>44921</v>
      </c>
      <c r="B222" s="408" t="s">
        <v>2124</v>
      </c>
      <c r="C222" s="438" t="s">
        <v>2141</v>
      </c>
      <c r="D222" s="423" t="s">
        <v>2132</v>
      </c>
      <c r="E222" s="437" t="s">
        <v>2142</v>
      </c>
      <c r="F222" s="408" t="s">
        <v>2134</v>
      </c>
      <c r="G222" s="424" t="s">
        <v>1596</v>
      </c>
      <c r="H222" s="426">
        <v>3850.96</v>
      </c>
    </row>
    <row r="223" spans="1:8" ht="63.75" x14ac:dyDescent="0.25">
      <c r="A223" s="435">
        <v>44921</v>
      </c>
      <c r="B223" s="408" t="s">
        <v>2124</v>
      </c>
      <c r="C223" s="438" t="s">
        <v>2143</v>
      </c>
      <c r="D223" s="423" t="s">
        <v>2132</v>
      </c>
      <c r="E223" s="437" t="s">
        <v>2144</v>
      </c>
      <c r="F223" s="408" t="s">
        <v>2134</v>
      </c>
      <c r="G223" s="424" t="s">
        <v>1596</v>
      </c>
      <c r="H223" s="426">
        <v>3850.96</v>
      </c>
    </row>
    <row r="224" spans="1:8" ht="63.75" x14ac:dyDescent="0.25">
      <c r="A224" s="435">
        <v>44921</v>
      </c>
      <c r="B224" s="408" t="s">
        <v>2124</v>
      </c>
      <c r="C224" s="438" t="s">
        <v>2145</v>
      </c>
      <c r="D224" s="423" t="s">
        <v>2132</v>
      </c>
      <c r="E224" s="437" t="s">
        <v>2146</v>
      </c>
      <c r="F224" s="408" t="s">
        <v>2134</v>
      </c>
      <c r="G224" s="424" t="s">
        <v>1596</v>
      </c>
      <c r="H224" s="426">
        <v>3850.96</v>
      </c>
    </row>
    <row r="225" spans="1:8" ht="63.75" x14ac:dyDescent="0.25">
      <c r="A225" s="435">
        <v>44921</v>
      </c>
      <c r="B225" s="408" t="s">
        <v>2124</v>
      </c>
      <c r="C225" s="438" t="s">
        <v>2147</v>
      </c>
      <c r="D225" s="423" t="s">
        <v>2132</v>
      </c>
      <c r="E225" s="437" t="s">
        <v>2148</v>
      </c>
      <c r="F225" s="408" t="s">
        <v>2134</v>
      </c>
      <c r="G225" s="424" t="s">
        <v>1596</v>
      </c>
      <c r="H225" s="426">
        <v>3850.96</v>
      </c>
    </row>
    <row r="226" spans="1:8" ht="63.75" x14ac:dyDescent="0.25">
      <c r="A226" s="435">
        <v>44921</v>
      </c>
      <c r="B226" s="408" t="s">
        <v>2124</v>
      </c>
      <c r="C226" s="438" t="s">
        <v>2149</v>
      </c>
      <c r="D226" s="423" t="s">
        <v>2132</v>
      </c>
      <c r="E226" s="437" t="s">
        <v>2150</v>
      </c>
      <c r="F226" s="408" t="s">
        <v>2134</v>
      </c>
      <c r="G226" s="424" t="s">
        <v>1596</v>
      </c>
      <c r="H226" s="426">
        <v>3850.96</v>
      </c>
    </row>
    <row r="227" spans="1:8" ht="63.75" x14ac:dyDescent="0.25">
      <c r="A227" s="435">
        <v>44921</v>
      </c>
      <c r="B227" s="408" t="s">
        <v>2124</v>
      </c>
      <c r="C227" s="438" t="s">
        <v>2151</v>
      </c>
      <c r="D227" s="423" t="s">
        <v>2132</v>
      </c>
      <c r="E227" s="437" t="s">
        <v>2152</v>
      </c>
      <c r="F227" s="408" t="s">
        <v>2134</v>
      </c>
      <c r="G227" s="424" t="s">
        <v>1596</v>
      </c>
      <c r="H227" s="426">
        <v>3850.96</v>
      </c>
    </row>
    <row r="228" spans="1:8" ht="63.75" x14ac:dyDescent="0.25">
      <c r="A228" s="435">
        <v>44921</v>
      </c>
      <c r="B228" s="408" t="s">
        <v>2124</v>
      </c>
      <c r="C228" s="438" t="s">
        <v>2153</v>
      </c>
      <c r="D228" s="423" t="s">
        <v>2132</v>
      </c>
      <c r="E228" s="437" t="s">
        <v>2154</v>
      </c>
      <c r="F228" s="408" t="s">
        <v>2134</v>
      </c>
      <c r="G228" s="424" t="s">
        <v>1596</v>
      </c>
      <c r="H228" s="426">
        <v>3850.96</v>
      </c>
    </row>
    <row r="229" spans="1:8" ht="63.75" x14ac:dyDescent="0.25">
      <c r="A229" s="435">
        <v>44921</v>
      </c>
      <c r="B229" s="408" t="s">
        <v>2124</v>
      </c>
      <c r="C229" s="438" t="s">
        <v>2155</v>
      </c>
      <c r="D229" s="423" t="s">
        <v>2132</v>
      </c>
      <c r="E229" s="437" t="s">
        <v>2156</v>
      </c>
      <c r="F229" s="408" t="s">
        <v>2134</v>
      </c>
      <c r="G229" s="424" t="s">
        <v>1596</v>
      </c>
      <c r="H229" s="426">
        <v>3850.96</v>
      </c>
    </row>
    <row r="230" spans="1:8" ht="63.75" x14ac:dyDescent="0.25">
      <c r="A230" s="435">
        <v>44921</v>
      </c>
      <c r="B230" s="408" t="s">
        <v>2124</v>
      </c>
      <c r="C230" s="438" t="s">
        <v>2157</v>
      </c>
      <c r="D230" s="423" t="s">
        <v>2132</v>
      </c>
      <c r="E230" s="437" t="s">
        <v>2158</v>
      </c>
      <c r="F230" s="408" t="s">
        <v>2134</v>
      </c>
      <c r="G230" s="424" t="s">
        <v>1596</v>
      </c>
      <c r="H230" s="426">
        <v>3850.96</v>
      </c>
    </row>
    <row r="231" spans="1:8" ht="63.75" x14ac:dyDescent="0.25">
      <c r="A231" s="435">
        <v>44921</v>
      </c>
      <c r="B231" s="408" t="s">
        <v>2124</v>
      </c>
      <c r="C231" s="438" t="s">
        <v>2159</v>
      </c>
      <c r="D231" s="423" t="s">
        <v>2132</v>
      </c>
      <c r="E231" s="437" t="s">
        <v>2160</v>
      </c>
      <c r="F231" s="408" t="s">
        <v>2134</v>
      </c>
      <c r="G231" s="424" t="s">
        <v>1596</v>
      </c>
      <c r="H231" s="426">
        <v>3850.96</v>
      </c>
    </row>
    <row r="232" spans="1:8" ht="63.75" x14ac:dyDescent="0.25">
      <c r="A232" s="435">
        <v>44921</v>
      </c>
      <c r="B232" s="408" t="s">
        <v>2124</v>
      </c>
      <c r="C232" s="438" t="s">
        <v>2161</v>
      </c>
      <c r="D232" s="423" t="s">
        <v>2132</v>
      </c>
      <c r="E232" s="437" t="s">
        <v>2162</v>
      </c>
      <c r="F232" s="408" t="s">
        <v>2134</v>
      </c>
      <c r="G232" s="424" t="s">
        <v>1596</v>
      </c>
      <c r="H232" s="426">
        <v>3850.96</v>
      </c>
    </row>
    <row r="233" spans="1:8" ht="63.75" x14ac:dyDescent="0.25">
      <c r="A233" s="435">
        <v>44921</v>
      </c>
      <c r="B233" s="408" t="s">
        <v>2124</v>
      </c>
      <c r="C233" s="438" t="s">
        <v>2163</v>
      </c>
      <c r="D233" s="423" t="s">
        <v>2132</v>
      </c>
      <c r="E233" s="437" t="s">
        <v>2164</v>
      </c>
      <c r="F233" s="408" t="s">
        <v>2134</v>
      </c>
      <c r="G233" s="424" t="s">
        <v>1596</v>
      </c>
      <c r="H233" s="426">
        <v>3850.96</v>
      </c>
    </row>
    <row r="234" spans="1:8" ht="63.75" x14ac:dyDescent="0.25">
      <c r="A234" s="435">
        <v>44921</v>
      </c>
      <c r="B234" s="408" t="s">
        <v>2124</v>
      </c>
      <c r="C234" s="438" t="s">
        <v>2165</v>
      </c>
      <c r="D234" s="423" t="s">
        <v>2132</v>
      </c>
      <c r="E234" s="437" t="s">
        <v>2166</v>
      </c>
      <c r="F234" s="408" t="s">
        <v>2134</v>
      </c>
      <c r="G234" s="424" t="s">
        <v>1596</v>
      </c>
      <c r="H234" s="426">
        <v>3850.96</v>
      </c>
    </row>
    <row r="235" spans="1:8" ht="63.75" x14ac:dyDescent="0.25">
      <c r="A235" s="435">
        <v>44921</v>
      </c>
      <c r="B235" s="408" t="s">
        <v>2124</v>
      </c>
      <c r="C235" s="438" t="s">
        <v>2167</v>
      </c>
      <c r="D235" s="423" t="s">
        <v>2132</v>
      </c>
      <c r="E235" s="437" t="s">
        <v>2168</v>
      </c>
      <c r="F235" s="408" t="s">
        <v>2134</v>
      </c>
      <c r="G235" s="424" t="s">
        <v>1596</v>
      </c>
      <c r="H235" s="426">
        <v>3850.96</v>
      </c>
    </row>
    <row r="236" spans="1:8" ht="63.75" x14ac:dyDescent="0.25">
      <c r="A236" s="435">
        <v>44921</v>
      </c>
      <c r="B236" s="408" t="s">
        <v>2124</v>
      </c>
      <c r="C236" s="438" t="s">
        <v>2169</v>
      </c>
      <c r="D236" s="423" t="s">
        <v>2132</v>
      </c>
      <c r="E236" s="437" t="s">
        <v>2170</v>
      </c>
      <c r="F236" s="408" t="s">
        <v>2134</v>
      </c>
      <c r="G236" s="424" t="s">
        <v>1596</v>
      </c>
      <c r="H236" s="426">
        <v>3850.96</v>
      </c>
    </row>
    <row r="237" spans="1:8" ht="63.75" x14ac:dyDescent="0.25">
      <c r="A237" s="435">
        <v>44921</v>
      </c>
      <c r="B237" s="408" t="s">
        <v>2124</v>
      </c>
      <c r="C237" s="438" t="s">
        <v>2171</v>
      </c>
      <c r="D237" s="423" t="s">
        <v>2132</v>
      </c>
      <c r="E237" s="437" t="s">
        <v>2172</v>
      </c>
      <c r="F237" s="408" t="s">
        <v>2134</v>
      </c>
      <c r="G237" s="424" t="s">
        <v>1596</v>
      </c>
      <c r="H237" s="426">
        <v>3850.96</v>
      </c>
    </row>
    <row r="238" spans="1:8" ht="63.75" x14ac:dyDescent="0.25">
      <c r="A238" s="435">
        <v>44921</v>
      </c>
      <c r="B238" s="408" t="s">
        <v>2124</v>
      </c>
      <c r="C238" s="438" t="s">
        <v>2173</v>
      </c>
      <c r="D238" s="423" t="s">
        <v>2132</v>
      </c>
      <c r="E238" s="437" t="s">
        <v>2174</v>
      </c>
      <c r="F238" s="408" t="s">
        <v>2134</v>
      </c>
      <c r="G238" s="424" t="s">
        <v>1596</v>
      </c>
      <c r="H238" s="426">
        <v>3850.96</v>
      </c>
    </row>
    <row r="239" spans="1:8" ht="63.75" x14ac:dyDescent="0.25">
      <c r="A239" s="435">
        <v>44921</v>
      </c>
      <c r="B239" s="408" t="s">
        <v>2124</v>
      </c>
      <c r="C239" s="438" t="s">
        <v>2175</v>
      </c>
      <c r="D239" s="423" t="s">
        <v>2132</v>
      </c>
      <c r="E239" s="437" t="s">
        <v>2176</v>
      </c>
      <c r="F239" s="408" t="s">
        <v>2134</v>
      </c>
      <c r="G239" s="424" t="s">
        <v>1596</v>
      </c>
      <c r="H239" s="426">
        <v>3850.96</v>
      </c>
    </row>
    <row r="240" spans="1:8" ht="63.75" x14ac:dyDescent="0.25">
      <c r="A240" s="435">
        <v>44921</v>
      </c>
      <c r="B240" s="408" t="s">
        <v>2124</v>
      </c>
      <c r="C240" s="438" t="s">
        <v>2177</v>
      </c>
      <c r="D240" s="423" t="s">
        <v>2132</v>
      </c>
      <c r="E240" s="437" t="s">
        <v>2178</v>
      </c>
      <c r="F240" s="408" t="s">
        <v>2134</v>
      </c>
      <c r="G240" s="424" t="s">
        <v>1596</v>
      </c>
      <c r="H240" s="426">
        <v>3850.96</v>
      </c>
    </row>
    <row r="241" spans="1:8" ht="63.75" x14ac:dyDescent="0.25">
      <c r="A241" s="435">
        <v>44921</v>
      </c>
      <c r="B241" s="408" t="s">
        <v>2124</v>
      </c>
      <c r="C241" s="438" t="s">
        <v>2179</v>
      </c>
      <c r="D241" s="423" t="s">
        <v>2132</v>
      </c>
      <c r="E241" s="437" t="s">
        <v>2180</v>
      </c>
      <c r="F241" s="408" t="s">
        <v>2134</v>
      </c>
      <c r="G241" s="424" t="s">
        <v>1596</v>
      </c>
      <c r="H241" s="426">
        <v>3850.96</v>
      </c>
    </row>
    <row r="242" spans="1:8" ht="63.75" x14ac:dyDescent="0.25">
      <c r="A242" s="435">
        <v>44921</v>
      </c>
      <c r="B242" s="408" t="s">
        <v>2124</v>
      </c>
      <c r="C242" s="438" t="s">
        <v>2181</v>
      </c>
      <c r="D242" s="423" t="s">
        <v>2132</v>
      </c>
      <c r="E242" s="437" t="s">
        <v>2182</v>
      </c>
      <c r="F242" s="408" t="s">
        <v>2134</v>
      </c>
      <c r="G242" s="424" t="s">
        <v>1596</v>
      </c>
      <c r="H242" s="426">
        <v>3850.96</v>
      </c>
    </row>
    <row r="243" spans="1:8" ht="63.75" x14ac:dyDescent="0.25">
      <c r="A243" s="435">
        <v>44921</v>
      </c>
      <c r="B243" s="408" t="s">
        <v>2124</v>
      </c>
      <c r="C243" s="438" t="s">
        <v>2183</v>
      </c>
      <c r="D243" s="423" t="s">
        <v>2132</v>
      </c>
      <c r="E243" s="437" t="s">
        <v>2184</v>
      </c>
      <c r="F243" s="408" t="s">
        <v>2134</v>
      </c>
      <c r="G243" s="424" t="s">
        <v>1596</v>
      </c>
      <c r="H243" s="426">
        <v>3850.96</v>
      </c>
    </row>
    <row r="244" spans="1:8" ht="63.75" x14ac:dyDescent="0.25">
      <c r="A244" s="435">
        <v>44921</v>
      </c>
      <c r="B244" s="408" t="s">
        <v>2124</v>
      </c>
      <c r="C244" s="438" t="s">
        <v>2185</v>
      </c>
      <c r="D244" s="423" t="s">
        <v>2132</v>
      </c>
      <c r="E244" s="437" t="s">
        <v>2186</v>
      </c>
      <c r="F244" s="408" t="s">
        <v>2134</v>
      </c>
      <c r="G244" s="424" t="s">
        <v>1596</v>
      </c>
      <c r="H244" s="426">
        <v>3850.96</v>
      </c>
    </row>
    <row r="245" spans="1:8" ht="63.75" x14ac:dyDescent="0.25">
      <c r="A245" s="435">
        <v>44921</v>
      </c>
      <c r="B245" s="408" t="s">
        <v>2124</v>
      </c>
      <c r="C245" s="438" t="s">
        <v>2187</v>
      </c>
      <c r="D245" s="423" t="s">
        <v>2132</v>
      </c>
      <c r="E245" s="437" t="s">
        <v>2188</v>
      </c>
      <c r="F245" s="408" t="s">
        <v>2134</v>
      </c>
      <c r="G245" s="424" t="s">
        <v>1596</v>
      </c>
      <c r="H245" s="426">
        <v>3850.96</v>
      </c>
    </row>
    <row r="246" spans="1:8" ht="63.75" x14ac:dyDescent="0.25">
      <c r="A246" s="435">
        <v>44921</v>
      </c>
      <c r="B246" s="408" t="s">
        <v>2124</v>
      </c>
      <c r="C246" s="438" t="s">
        <v>2189</v>
      </c>
      <c r="D246" s="423" t="s">
        <v>2132</v>
      </c>
      <c r="E246" s="437" t="s">
        <v>2190</v>
      </c>
      <c r="F246" s="408" t="s">
        <v>2134</v>
      </c>
      <c r="G246" s="424" t="s">
        <v>1596</v>
      </c>
      <c r="H246" s="426">
        <v>3850.96</v>
      </c>
    </row>
    <row r="247" spans="1:8" ht="63.75" x14ac:dyDescent="0.25">
      <c r="A247" s="435">
        <v>44921</v>
      </c>
      <c r="B247" s="408" t="s">
        <v>2124</v>
      </c>
      <c r="C247" s="438" t="s">
        <v>2191</v>
      </c>
      <c r="D247" s="423" t="s">
        <v>2132</v>
      </c>
      <c r="E247" s="437" t="s">
        <v>2192</v>
      </c>
      <c r="F247" s="408" t="s">
        <v>2134</v>
      </c>
      <c r="G247" s="424" t="s">
        <v>1596</v>
      </c>
      <c r="H247" s="426">
        <v>3850.96</v>
      </c>
    </row>
    <row r="248" spans="1:8" ht="63.75" x14ac:dyDescent="0.25">
      <c r="A248" s="435">
        <v>44921</v>
      </c>
      <c r="B248" s="408" t="s">
        <v>2124</v>
      </c>
      <c r="C248" s="438" t="s">
        <v>2193</v>
      </c>
      <c r="D248" s="423" t="s">
        <v>1877</v>
      </c>
      <c r="E248" s="437" t="s">
        <v>2194</v>
      </c>
      <c r="F248" s="408" t="s">
        <v>2134</v>
      </c>
      <c r="G248" s="424" t="s">
        <v>1596</v>
      </c>
      <c r="H248" s="426">
        <v>11379.25</v>
      </c>
    </row>
    <row r="249" spans="1:8" ht="63.75" x14ac:dyDescent="0.25">
      <c r="A249" s="435">
        <v>44921</v>
      </c>
      <c r="B249" s="408" t="s">
        <v>2124</v>
      </c>
      <c r="C249" s="438" t="s">
        <v>2195</v>
      </c>
      <c r="D249" s="423" t="s">
        <v>1877</v>
      </c>
      <c r="E249" s="437" t="s">
        <v>2196</v>
      </c>
      <c r="F249" s="408" t="s">
        <v>2134</v>
      </c>
      <c r="G249" s="424" t="s">
        <v>1596</v>
      </c>
      <c r="H249" s="426">
        <v>11379.25</v>
      </c>
    </row>
    <row r="250" spans="1:8" ht="63.75" x14ac:dyDescent="0.25">
      <c r="A250" s="435">
        <v>44921</v>
      </c>
      <c r="B250" s="408" t="s">
        <v>2124</v>
      </c>
      <c r="C250" s="438" t="s">
        <v>2197</v>
      </c>
      <c r="D250" s="423" t="s">
        <v>1877</v>
      </c>
      <c r="E250" s="437" t="s">
        <v>2198</v>
      </c>
      <c r="F250" s="408" t="s">
        <v>2134</v>
      </c>
      <c r="G250" s="424" t="s">
        <v>1596</v>
      </c>
      <c r="H250" s="426">
        <v>11379.25</v>
      </c>
    </row>
    <row r="251" spans="1:8" ht="63.75" x14ac:dyDescent="0.25">
      <c r="A251" s="435">
        <v>44921</v>
      </c>
      <c r="B251" s="408" t="s">
        <v>2124</v>
      </c>
      <c r="C251" s="438" t="s">
        <v>2199</v>
      </c>
      <c r="D251" s="423" t="s">
        <v>1877</v>
      </c>
      <c r="E251" s="437" t="s">
        <v>2200</v>
      </c>
      <c r="F251" s="408" t="s">
        <v>2134</v>
      </c>
      <c r="G251" s="424" t="s">
        <v>1596</v>
      </c>
      <c r="H251" s="426">
        <v>11379.25</v>
      </c>
    </row>
    <row r="252" spans="1:8" ht="63.75" x14ac:dyDescent="0.25">
      <c r="A252" s="435">
        <v>44921</v>
      </c>
      <c r="B252" s="408" t="s">
        <v>2124</v>
      </c>
      <c r="C252" s="438" t="s">
        <v>2201</v>
      </c>
      <c r="D252" s="423" t="s">
        <v>1877</v>
      </c>
      <c r="E252" s="437" t="s">
        <v>2202</v>
      </c>
      <c r="F252" s="408" t="s">
        <v>2134</v>
      </c>
      <c r="G252" s="424" t="s">
        <v>1596</v>
      </c>
      <c r="H252" s="426">
        <v>11379.25</v>
      </c>
    </row>
    <row r="253" spans="1:8" ht="63.75" x14ac:dyDescent="0.25">
      <c r="A253" s="435">
        <v>44921</v>
      </c>
      <c r="B253" s="408" t="s">
        <v>2124</v>
      </c>
      <c r="C253" s="438" t="s">
        <v>2203</v>
      </c>
      <c r="D253" s="423" t="s">
        <v>1877</v>
      </c>
      <c r="E253" s="437" t="s">
        <v>2204</v>
      </c>
      <c r="F253" s="408" t="s">
        <v>2134</v>
      </c>
      <c r="G253" s="424" t="s">
        <v>1596</v>
      </c>
      <c r="H253" s="426">
        <v>11379.25</v>
      </c>
    </row>
    <row r="254" spans="1:8" ht="63.75" x14ac:dyDescent="0.25">
      <c r="A254" s="435">
        <v>44921</v>
      </c>
      <c r="B254" s="408" t="s">
        <v>2124</v>
      </c>
      <c r="C254" s="438" t="s">
        <v>2205</v>
      </c>
      <c r="D254" s="423" t="s">
        <v>1877</v>
      </c>
      <c r="E254" s="437" t="s">
        <v>2206</v>
      </c>
      <c r="F254" s="408" t="s">
        <v>2134</v>
      </c>
      <c r="G254" s="424" t="s">
        <v>1596</v>
      </c>
      <c r="H254" s="426">
        <v>11379.25</v>
      </c>
    </row>
    <row r="255" spans="1:8" ht="63.75" x14ac:dyDescent="0.25">
      <c r="A255" s="435">
        <v>44921</v>
      </c>
      <c r="B255" s="408" t="s">
        <v>2124</v>
      </c>
      <c r="C255" s="438" t="s">
        <v>2207</v>
      </c>
      <c r="D255" s="423" t="s">
        <v>1877</v>
      </c>
      <c r="E255" s="437" t="s">
        <v>2208</v>
      </c>
      <c r="F255" s="408" t="s">
        <v>2134</v>
      </c>
      <c r="G255" s="424" t="s">
        <v>1596</v>
      </c>
      <c r="H255" s="426">
        <v>11379.25</v>
      </c>
    </row>
    <row r="256" spans="1:8" ht="63.75" x14ac:dyDescent="0.25">
      <c r="A256" s="435">
        <v>44921</v>
      </c>
      <c r="B256" s="408" t="s">
        <v>2124</v>
      </c>
      <c r="C256" s="438" t="s">
        <v>2209</v>
      </c>
      <c r="D256" s="423" t="s">
        <v>1877</v>
      </c>
      <c r="E256" s="437" t="s">
        <v>2210</v>
      </c>
      <c r="F256" s="408" t="s">
        <v>2134</v>
      </c>
      <c r="G256" s="424" t="s">
        <v>1596</v>
      </c>
      <c r="H256" s="426">
        <v>11379.25</v>
      </c>
    </row>
    <row r="257" spans="1:8" ht="63.75" x14ac:dyDescent="0.25">
      <c r="A257" s="435">
        <v>44921</v>
      </c>
      <c r="B257" s="408" t="s">
        <v>2124</v>
      </c>
      <c r="C257" s="438" t="s">
        <v>2211</v>
      </c>
      <c r="D257" s="423" t="s">
        <v>1877</v>
      </c>
      <c r="E257" s="437" t="s">
        <v>2212</v>
      </c>
      <c r="F257" s="408" t="s">
        <v>2134</v>
      </c>
      <c r="G257" s="424" t="s">
        <v>1596</v>
      </c>
      <c r="H257" s="426">
        <v>11379.25</v>
      </c>
    </row>
    <row r="258" spans="1:8" ht="63.75" x14ac:dyDescent="0.25">
      <c r="A258" s="435">
        <v>44921</v>
      </c>
      <c r="B258" s="408" t="s">
        <v>2124</v>
      </c>
      <c r="C258" s="438" t="s">
        <v>2213</v>
      </c>
      <c r="D258" s="423" t="s">
        <v>1877</v>
      </c>
      <c r="E258" s="437" t="s">
        <v>2214</v>
      </c>
      <c r="F258" s="408" t="s">
        <v>2134</v>
      </c>
      <c r="G258" s="424" t="s">
        <v>1596</v>
      </c>
      <c r="H258" s="426">
        <v>11379.25</v>
      </c>
    </row>
    <row r="259" spans="1:8" ht="63.75" x14ac:dyDescent="0.25">
      <c r="A259" s="435">
        <v>44921</v>
      </c>
      <c r="B259" s="408" t="s">
        <v>2124</v>
      </c>
      <c r="C259" s="438" t="s">
        <v>2215</v>
      </c>
      <c r="D259" s="423" t="s">
        <v>1877</v>
      </c>
      <c r="E259" s="437" t="s">
        <v>2216</v>
      </c>
      <c r="F259" s="408" t="s">
        <v>2134</v>
      </c>
      <c r="G259" s="424" t="s">
        <v>1596</v>
      </c>
      <c r="H259" s="426">
        <v>11379.25</v>
      </c>
    </row>
    <row r="260" spans="1:8" ht="63.75" x14ac:dyDescent="0.25">
      <c r="A260" s="435">
        <v>44921</v>
      </c>
      <c r="B260" s="408" t="s">
        <v>2124</v>
      </c>
      <c r="C260" s="438" t="s">
        <v>2217</v>
      </c>
      <c r="D260" s="423" t="s">
        <v>1877</v>
      </c>
      <c r="E260" s="437" t="s">
        <v>2218</v>
      </c>
      <c r="F260" s="408" t="s">
        <v>2134</v>
      </c>
      <c r="G260" s="424" t="s">
        <v>1596</v>
      </c>
      <c r="H260" s="426">
        <v>11379.25</v>
      </c>
    </row>
    <row r="261" spans="1:8" ht="63.75" x14ac:dyDescent="0.25">
      <c r="A261" s="435">
        <v>44921</v>
      </c>
      <c r="B261" s="408" t="s">
        <v>2124</v>
      </c>
      <c r="C261" s="438" t="s">
        <v>2219</v>
      </c>
      <c r="D261" s="423" t="s">
        <v>1877</v>
      </c>
      <c r="E261" s="437" t="s">
        <v>2220</v>
      </c>
      <c r="F261" s="408" t="s">
        <v>2134</v>
      </c>
      <c r="G261" s="424" t="s">
        <v>1596</v>
      </c>
      <c r="H261" s="426">
        <v>11379.25</v>
      </c>
    </row>
    <row r="262" spans="1:8" ht="63.75" x14ac:dyDescent="0.25">
      <c r="A262" s="435">
        <v>44921</v>
      </c>
      <c r="B262" s="408" t="s">
        <v>2124</v>
      </c>
      <c r="C262" s="438" t="s">
        <v>2221</v>
      </c>
      <c r="D262" s="423" t="s">
        <v>1877</v>
      </c>
      <c r="E262" s="437" t="s">
        <v>2222</v>
      </c>
      <c r="F262" s="408" t="s">
        <v>2134</v>
      </c>
      <c r="G262" s="424" t="s">
        <v>1596</v>
      </c>
      <c r="H262" s="426">
        <v>11379.25</v>
      </c>
    </row>
    <row r="263" spans="1:8" ht="63.75" x14ac:dyDescent="0.25">
      <c r="A263" s="435">
        <v>44921</v>
      </c>
      <c r="B263" s="408" t="s">
        <v>2124</v>
      </c>
      <c r="C263" s="438" t="s">
        <v>2223</v>
      </c>
      <c r="D263" s="423" t="s">
        <v>1877</v>
      </c>
      <c r="E263" s="437" t="s">
        <v>2224</v>
      </c>
      <c r="F263" s="408" t="s">
        <v>2134</v>
      </c>
      <c r="G263" s="424" t="s">
        <v>1596</v>
      </c>
      <c r="H263" s="426">
        <v>11379.25</v>
      </c>
    </row>
    <row r="264" spans="1:8" ht="63.75" x14ac:dyDescent="0.25">
      <c r="A264" s="435">
        <v>44921</v>
      </c>
      <c r="B264" s="408" t="s">
        <v>2124</v>
      </c>
      <c r="C264" s="438" t="s">
        <v>2225</v>
      </c>
      <c r="D264" s="423" t="s">
        <v>1877</v>
      </c>
      <c r="E264" s="437" t="s">
        <v>2226</v>
      </c>
      <c r="F264" s="408" t="s">
        <v>2134</v>
      </c>
      <c r="G264" s="424" t="s">
        <v>1596</v>
      </c>
      <c r="H264" s="426">
        <v>11379.25</v>
      </c>
    </row>
    <row r="265" spans="1:8" ht="63.75" x14ac:dyDescent="0.25">
      <c r="A265" s="435">
        <v>44921</v>
      </c>
      <c r="B265" s="408" t="s">
        <v>2124</v>
      </c>
      <c r="C265" s="438" t="s">
        <v>2227</v>
      </c>
      <c r="D265" s="423" t="s">
        <v>1877</v>
      </c>
      <c r="E265" s="437" t="s">
        <v>2228</v>
      </c>
      <c r="F265" s="408" t="s">
        <v>2134</v>
      </c>
      <c r="G265" s="424" t="s">
        <v>1596</v>
      </c>
      <c r="H265" s="426">
        <v>11379.25</v>
      </c>
    </row>
    <row r="266" spans="1:8" ht="63.75" x14ac:dyDescent="0.25">
      <c r="A266" s="435">
        <v>44921</v>
      </c>
      <c r="B266" s="408" t="s">
        <v>2124</v>
      </c>
      <c r="C266" s="438" t="s">
        <v>2229</v>
      </c>
      <c r="D266" s="423" t="s">
        <v>1877</v>
      </c>
      <c r="E266" s="437" t="s">
        <v>2230</v>
      </c>
      <c r="F266" s="408" t="s">
        <v>2134</v>
      </c>
      <c r="G266" s="424" t="s">
        <v>1596</v>
      </c>
      <c r="H266" s="426">
        <v>11379.25</v>
      </c>
    </row>
    <row r="267" spans="1:8" ht="63.75" x14ac:dyDescent="0.25">
      <c r="A267" s="435">
        <v>44921</v>
      </c>
      <c r="B267" s="408" t="s">
        <v>2124</v>
      </c>
      <c r="C267" s="438" t="s">
        <v>2231</v>
      </c>
      <c r="D267" s="423" t="s">
        <v>1877</v>
      </c>
      <c r="E267" s="437" t="s">
        <v>2232</v>
      </c>
      <c r="F267" s="408" t="s">
        <v>2134</v>
      </c>
      <c r="G267" s="424" t="s">
        <v>1596</v>
      </c>
      <c r="H267" s="426">
        <v>11379.25</v>
      </c>
    </row>
    <row r="268" spans="1:8" ht="63.75" x14ac:dyDescent="0.25">
      <c r="A268" s="435">
        <v>44921</v>
      </c>
      <c r="B268" s="408" t="s">
        <v>2124</v>
      </c>
      <c r="C268" s="438" t="s">
        <v>2233</v>
      </c>
      <c r="D268" s="423" t="s">
        <v>1877</v>
      </c>
      <c r="E268" s="437" t="s">
        <v>2234</v>
      </c>
      <c r="F268" s="408" t="s">
        <v>2134</v>
      </c>
      <c r="G268" s="424" t="s">
        <v>1596</v>
      </c>
      <c r="H268" s="426">
        <v>11379.25</v>
      </c>
    </row>
    <row r="269" spans="1:8" ht="63.75" x14ac:dyDescent="0.25">
      <c r="A269" s="435">
        <v>44921</v>
      </c>
      <c r="B269" s="408" t="s">
        <v>2124</v>
      </c>
      <c r="C269" s="438" t="s">
        <v>2235</v>
      </c>
      <c r="D269" s="423" t="s">
        <v>1877</v>
      </c>
      <c r="E269" s="437" t="s">
        <v>2236</v>
      </c>
      <c r="F269" s="408" t="s">
        <v>2134</v>
      </c>
      <c r="G269" s="424" t="s">
        <v>1596</v>
      </c>
      <c r="H269" s="426">
        <v>11379.25</v>
      </c>
    </row>
    <row r="270" spans="1:8" ht="63.75" x14ac:dyDescent="0.25">
      <c r="A270" s="435">
        <v>44921</v>
      </c>
      <c r="B270" s="408" t="s">
        <v>2124</v>
      </c>
      <c r="C270" s="438" t="s">
        <v>2237</v>
      </c>
      <c r="D270" s="423" t="s">
        <v>1877</v>
      </c>
      <c r="E270" s="437" t="s">
        <v>2238</v>
      </c>
      <c r="F270" s="408" t="s">
        <v>2134</v>
      </c>
      <c r="G270" s="424" t="s">
        <v>1596</v>
      </c>
      <c r="H270" s="426">
        <v>11379.25</v>
      </c>
    </row>
    <row r="271" spans="1:8" ht="63.75" x14ac:dyDescent="0.25">
      <c r="A271" s="435">
        <v>44921</v>
      </c>
      <c r="B271" s="408" t="s">
        <v>2124</v>
      </c>
      <c r="C271" s="438" t="s">
        <v>2239</v>
      </c>
      <c r="D271" s="423" t="s">
        <v>1877</v>
      </c>
      <c r="E271" s="437" t="s">
        <v>2240</v>
      </c>
      <c r="F271" s="408" t="s">
        <v>2134</v>
      </c>
      <c r="G271" s="424" t="s">
        <v>1596</v>
      </c>
      <c r="H271" s="426">
        <v>11379.25</v>
      </c>
    </row>
    <row r="272" spans="1:8" ht="63.75" x14ac:dyDescent="0.25">
      <c r="A272" s="435">
        <v>44921</v>
      </c>
      <c r="B272" s="408" t="s">
        <v>2124</v>
      </c>
      <c r="C272" s="438" t="s">
        <v>2241</v>
      </c>
      <c r="D272" s="423" t="s">
        <v>1877</v>
      </c>
      <c r="E272" s="437" t="s">
        <v>2242</v>
      </c>
      <c r="F272" s="408" t="s">
        <v>2134</v>
      </c>
      <c r="G272" s="424" t="s">
        <v>1596</v>
      </c>
      <c r="H272" s="426">
        <v>11379.25</v>
      </c>
    </row>
    <row r="273" spans="1:8" ht="63.75" x14ac:dyDescent="0.25">
      <c r="A273" s="435">
        <v>44921</v>
      </c>
      <c r="B273" s="408" t="s">
        <v>2124</v>
      </c>
      <c r="C273" s="438" t="s">
        <v>2243</v>
      </c>
      <c r="D273" s="423" t="s">
        <v>1877</v>
      </c>
      <c r="E273" s="437" t="s">
        <v>2244</v>
      </c>
      <c r="F273" s="408" t="s">
        <v>2134</v>
      </c>
      <c r="G273" s="424" t="s">
        <v>1596</v>
      </c>
      <c r="H273" s="426">
        <v>11379.25</v>
      </c>
    </row>
    <row r="274" spans="1:8" ht="63.75" x14ac:dyDescent="0.25">
      <c r="A274" s="435">
        <v>44921</v>
      </c>
      <c r="B274" s="408" t="s">
        <v>2124</v>
      </c>
      <c r="C274" s="438" t="s">
        <v>2245</v>
      </c>
      <c r="D274" s="423" t="s">
        <v>1877</v>
      </c>
      <c r="E274" s="437" t="s">
        <v>2246</v>
      </c>
      <c r="F274" s="408" t="s">
        <v>2134</v>
      </c>
      <c r="G274" s="424" t="s">
        <v>1596</v>
      </c>
      <c r="H274" s="426">
        <v>11379.25</v>
      </c>
    </row>
    <row r="275" spans="1:8" ht="63.75" x14ac:dyDescent="0.25">
      <c r="A275" s="435">
        <v>44921</v>
      </c>
      <c r="B275" s="408" t="s">
        <v>2124</v>
      </c>
      <c r="C275" s="438" t="s">
        <v>2247</v>
      </c>
      <c r="D275" s="423" t="s">
        <v>1877</v>
      </c>
      <c r="E275" s="437" t="s">
        <v>2248</v>
      </c>
      <c r="F275" s="408" t="s">
        <v>2134</v>
      </c>
      <c r="G275" s="424" t="s">
        <v>1596</v>
      </c>
      <c r="H275" s="426">
        <v>11379.25</v>
      </c>
    </row>
    <row r="276" spans="1:8" ht="63.75" x14ac:dyDescent="0.25">
      <c r="A276" s="435">
        <v>44921</v>
      </c>
      <c r="B276" s="408" t="s">
        <v>2124</v>
      </c>
      <c r="C276" s="438" t="s">
        <v>2249</v>
      </c>
      <c r="D276" s="423" t="s">
        <v>1877</v>
      </c>
      <c r="E276" s="437" t="s">
        <v>2250</v>
      </c>
      <c r="F276" s="408" t="s">
        <v>2134</v>
      </c>
      <c r="G276" s="424" t="s">
        <v>1596</v>
      </c>
      <c r="H276" s="426">
        <v>11379.25</v>
      </c>
    </row>
    <row r="277" spans="1:8" ht="63.75" x14ac:dyDescent="0.25">
      <c r="A277" s="435">
        <v>44921</v>
      </c>
      <c r="B277" s="408" t="s">
        <v>2124</v>
      </c>
      <c r="C277" s="438" t="s">
        <v>2251</v>
      </c>
      <c r="D277" s="423" t="s">
        <v>1877</v>
      </c>
      <c r="E277" s="437" t="s">
        <v>2252</v>
      </c>
      <c r="F277" s="408" t="s">
        <v>2134</v>
      </c>
      <c r="G277" s="424" t="s">
        <v>1596</v>
      </c>
      <c r="H277" s="426">
        <v>11379.25</v>
      </c>
    </row>
    <row r="278" spans="1:8" ht="38.25" x14ac:dyDescent="0.25">
      <c r="A278" s="435">
        <v>44921</v>
      </c>
      <c r="B278" s="408" t="s">
        <v>2124</v>
      </c>
      <c r="C278" s="438" t="s">
        <v>2253</v>
      </c>
      <c r="D278" s="423" t="s">
        <v>2254</v>
      </c>
      <c r="E278" s="437" t="s">
        <v>2255</v>
      </c>
      <c r="F278" s="408" t="s">
        <v>2128</v>
      </c>
      <c r="G278" s="424" t="s">
        <v>1596</v>
      </c>
      <c r="H278" s="426">
        <v>17464.05</v>
      </c>
    </row>
    <row r="279" spans="1:8" ht="38.25" x14ac:dyDescent="0.25">
      <c r="A279" s="435">
        <v>44921</v>
      </c>
      <c r="B279" s="408" t="s">
        <v>2124</v>
      </c>
      <c r="C279" s="438" t="s">
        <v>2256</v>
      </c>
      <c r="D279" s="423" t="s">
        <v>2254</v>
      </c>
      <c r="E279" s="437" t="s">
        <v>2257</v>
      </c>
      <c r="F279" s="408" t="s">
        <v>2128</v>
      </c>
      <c r="G279" s="424" t="s">
        <v>1596</v>
      </c>
      <c r="H279" s="426">
        <v>17464.05</v>
      </c>
    </row>
    <row r="280" spans="1:8" ht="38.25" x14ac:dyDescent="0.25">
      <c r="A280" s="435">
        <v>44921</v>
      </c>
      <c r="B280" s="408" t="s">
        <v>2124</v>
      </c>
      <c r="C280" s="438" t="s">
        <v>2258</v>
      </c>
      <c r="D280" s="423" t="s">
        <v>2254</v>
      </c>
      <c r="E280" s="437" t="s">
        <v>2259</v>
      </c>
      <c r="F280" s="408" t="s">
        <v>2128</v>
      </c>
      <c r="G280" s="424" t="s">
        <v>1596</v>
      </c>
      <c r="H280" s="426">
        <v>17464.05</v>
      </c>
    </row>
    <row r="281" spans="1:8" ht="38.25" x14ac:dyDescent="0.25">
      <c r="A281" s="435">
        <v>44921</v>
      </c>
      <c r="B281" s="408" t="s">
        <v>2124</v>
      </c>
      <c r="C281" s="438" t="s">
        <v>2260</v>
      </c>
      <c r="D281" s="423" t="s">
        <v>2254</v>
      </c>
      <c r="E281" s="437" t="s">
        <v>2261</v>
      </c>
      <c r="F281" s="408" t="s">
        <v>2128</v>
      </c>
      <c r="G281" s="424" t="s">
        <v>1596</v>
      </c>
      <c r="H281" s="426">
        <v>17464.05</v>
      </c>
    </row>
    <row r="282" spans="1:8" ht="38.25" x14ac:dyDescent="0.25">
      <c r="A282" s="435">
        <v>44921</v>
      </c>
      <c r="B282" s="408" t="s">
        <v>2124</v>
      </c>
      <c r="C282" s="438" t="s">
        <v>2262</v>
      </c>
      <c r="D282" s="423" t="s">
        <v>2263</v>
      </c>
      <c r="E282" s="437" t="s">
        <v>2264</v>
      </c>
      <c r="F282" s="408" t="s">
        <v>2128</v>
      </c>
      <c r="G282" s="424" t="s">
        <v>1596</v>
      </c>
      <c r="H282" s="426">
        <v>34064.35</v>
      </c>
    </row>
    <row r="283" spans="1:8" ht="38.25" x14ac:dyDescent="0.25">
      <c r="A283" s="435">
        <v>44921</v>
      </c>
      <c r="B283" s="408" t="s">
        <v>2124</v>
      </c>
      <c r="C283" s="438" t="s">
        <v>2265</v>
      </c>
      <c r="D283" s="423" t="s">
        <v>2266</v>
      </c>
      <c r="E283" s="437" t="s">
        <v>2267</v>
      </c>
      <c r="F283" s="408" t="s">
        <v>2128</v>
      </c>
      <c r="G283" s="424" t="s">
        <v>1596</v>
      </c>
      <c r="H283" s="426">
        <v>34064.35</v>
      </c>
    </row>
    <row r="284" spans="1:8" ht="38.25" x14ac:dyDescent="0.25">
      <c r="A284" s="435">
        <v>44921</v>
      </c>
      <c r="B284" s="408" t="s">
        <v>2124</v>
      </c>
      <c r="C284" s="438" t="s">
        <v>2268</v>
      </c>
      <c r="D284" s="423" t="s">
        <v>2269</v>
      </c>
      <c r="E284" s="437" t="s">
        <v>2270</v>
      </c>
      <c r="F284" s="408" t="s">
        <v>2128</v>
      </c>
      <c r="G284" s="424" t="s">
        <v>1596</v>
      </c>
      <c r="H284" s="426">
        <v>34064.35</v>
      </c>
    </row>
    <row r="285" spans="1:8" ht="38.25" x14ac:dyDescent="0.25">
      <c r="A285" s="435">
        <v>44921</v>
      </c>
      <c r="B285" s="408" t="s">
        <v>2124</v>
      </c>
      <c r="C285" s="438" t="s">
        <v>2271</v>
      </c>
      <c r="D285" s="423" t="s">
        <v>2272</v>
      </c>
      <c r="E285" s="437" t="s">
        <v>2273</v>
      </c>
      <c r="F285" s="408" t="s">
        <v>2128</v>
      </c>
      <c r="G285" s="424" t="s">
        <v>1596</v>
      </c>
      <c r="H285" s="426">
        <v>34064.35</v>
      </c>
    </row>
    <row r="286" spans="1:8" ht="63.75" x14ac:dyDescent="0.25">
      <c r="A286" s="435">
        <v>44921</v>
      </c>
      <c r="B286" s="408" t="s">
        <v>2124</v>
      </c>
      <c r="C286" s="438" t="s">
        <v>2274</v>
      </c>
      <c r="D286" s="423" t="s">
        <v>2275</v>
      </c>
      <c r="E286" s="437" t="s">
        <v>2276</v>
      </c>
      <c r="F286" s="408" t="s">
        <v>2134</v>
      </c>
      <c r="G286" s="424" t="s">
        <v>1596</v>
      </c>
      <c r="H286" s="426">
        <v>51691.29</v>
      </c>
    </row>
    <row r="287" spans="1:8" ht="63.75" x14ac:dyDescent="0.25">
      <c r="A287" s="435">
        <v>44921</v>
      </c>
      <c r="B287" s="408" t="s">
        <v>2124</v>
      </c>
      <c r="C287" s="438" t="s">
        <v>2277</v>
      </c>
      <c r="D287" s="423" t="s">
        <v>2275</v>
      </c>
      <c r="E287" s="437" t="s">
        <v>2278</v>
      </c>
      <c r="F287" s="408" t="s">
        <v>2134</v>
      </c>
      <c r="G287" s="424" t="s">
        <v>1596</v>
      </c>
      <c r="H287" s="426">
        <v>51691.29</v>
      </c>
    </row>
    <row r="288" spans="1:8" ht="63.75" x14ac:dyDescent="0.25">
      <c r="A288" s="435">
        <v>44921</v>
      </c>
      <c r="B288" s="408" t="s">
        <v>2124</v>
      </c>
      <c r="C288" s="438" t="s">
        <v>2279</v>
      </c>
      <c r="D288" s="423" t="s">
        <v>2275</v>
      </c>
      <c r="E288" s="437" t="s">
        <v>2278</v>
      </c>
      <c r="F288" s="408" t="s">
        <v>2134</v>
      </c>
      <c r="G288" s="424" t="s">
        <v>1596</v>
      </c>
      <c r="H288" s="426">
        <v>51691.29</v>
      </c>
    </row>
    <row r="289" spans="1:8" ht="63.75" x14ac:dyDescent="0.25">
      <c r="A289" s="435">
        <v>44921</v>
      </c>
      <c r="B289" s="408" t="s">
        <v>2124</v>
      </c>
      <c r="C289" s="438" t="s">
        <v>2280</v>
      </c>
      <c r="D289" s="423" t="s">
        <v>2275</v>
      </c>
      <c r="E289" s="437" t="s">
        <v>2281</v>
      </c>
      <c r="F289" s="408" t="s">
        <v>2134</v>
      </c>
      <c r="G289" s="424" t="s">
        <v>1596</v>
      </c>
      <c r="H289" s="426">
        <v>51691.29</v>
      </c>
    </row>
    <row r="290" spans="1:8" ht="63.75" x14ac:dyDescent="0.25">
      <c r="A290" s="435">
        <v>44921</v>
      </c>
      <c r="B290" s="408" t="s">
        <v>2124</v>
      </c>
      <c r="C290" s="438" t="s">
        <v>2282</v>
      </c>
      <c r="D290" s="423" t="s">
        <v>2275</v>
      </c>
      <c r="E290" s="437" t="s">
        <v>2283</v>
      </c>
      <c r="F290" s="408" t="s">
        <v>2134</v>
      </c>
      <c r="G290" s="424" t="s">
        <v>1596</v>
      </c>
      <c r="H290" s="426">
        <v>51691.29</v>
      </c>
    </row>
    <row r="291" spans="1:8" ht="63.75" x14ac:dyDescent="0.25">
      <c r="A291" s="435">
        <v>44921</v>
      </c>
      <c r="B291" s="408" t="s">
        <v>2124</v>
      </c>
      <c r="C291" s="438" t="s">
        <v>2284</v>
      </c>
      <c r="D291" s="423" t="s">
        <v>2275</v>
      </c>
      <c r="E291" s="437" t="s">
        <v>2285</v>
      </c>
      <c r="F291" s="408" t="s">
        <v>2134</v>
      </c>
      <c r="G291" s="424" t="s">
        <v>1596</v>
      </c>
      <c r="H291" s="426">
        <v>51691.29</v>
      </c>
    </row>
    <row r="292" spans="1:8" ht="63.75" x14ac:dyDescent="0.25">
      <c r="A292" s="435">
        <v>44921</v>
      </c>
      <c r="B292" s="408" t="s">
        <v>2124</v>
      </c>
      <c r="C292" s="438" t="s">
        <v>2286</v>
      </c>
      <c r="D292" s="423" t="s">
        <v>2275</v>
      </c>
      <c r="E292" s="437" t="s">
        <v>2287</v>
      </c>
      <c r="F292" s="408" t="s">
        <v>2134</v>
      </c>
      <c r="G292" s="424" t="s">
        <v>1596</v>
      </c>
      <c r="H292" s="426">
        <v>51691.29</v>
      </c>
    </row>
    <row r="293" spans="1:8" ht="63.75" x14ac:dyDescent="0.25">
      <c r="A293" s="435">
        <v>44921</v>
      </c>
      <c r="B293" s="408" t="s">
        <v>2124</v>
      </c>
      <c r="C293" s="438" t="s">
        <v>2288</v>
      </c>
      <c r="D293" s="423" t="s">
        <v>2275</v>
      </c>
      <c r="E293" s="437" t="s">
        <v>2289</v>
      </c>
      <c r="F293" s="408" t="s">
        <v>2134</v>
      </c>
      <c r="G293" s="424" t="s">
        <v>1596</v>
      </c>
      <c r="H293" s="426">
        <v>51691.29</v>
      </c>
    </row>
    <row r="294" spans="1:8" ht="63.75" x14ac:dyDescent="0.25">
      <c r="A294" s="435">
        <v>44921</v>
      </c>
      <c r="B294" s="408" t="s">
        <v>2124</v>
      </c>
      <c r="C294" s="438" t="s">
        <v>2290</v>
      </c>
      <c r="D294" s="423" t="s">
        <v>2275</v>
      </c>
      <c r="E294" s="437" t="s">
        <v>2291</v>
      </c>
      <c r="F294" s="408" t="s">
        <v>2134</v>
      </c>
      <c r="G294" s="424" t="s">
        <v>1596</v>
      </c>
      <c r="H294" s="426">
        <v>51691.29</v>
      </c>
    </row>
    <row r="295" spans="1:8" ht="63.75" x14ac:dyDescent="0.25">
      <c r="A295" s="435">
        <v>44921</v>
      </c>
      <c r="B295" s="408" t="s">
        <v>2124</v>
      </c>
      <c r="C295" s="438" t="s">
        <v>2292</v>
      </c>
      <c r="D295" s="423" t="s">
        <v>2275</v>
      </c>
      <c r="E295" s="437" t="s">
        <v>2293</v>
      </c>
      <c r="F295" s="408" t="s">
        <v>2134</v>
      </c>
      <c r="G295" s="424" t="s">
        <v>1596</v>
      </c>
      <c r="H295" s="426">
        <v>51691.29</v>
      </c>
    </row>
    <row r="296" spans="1:8" ht="63.75" x14ac:dyDescent="0.25">
      <c r="A296" s="435">
        <v>44921</v>
      </c>
      <c r="B296" s="408" t="s">
        <v>2124</v>
      </c>
      <c r="C296" s="438" t="s">
        <v>2294</v>
      </c>
      <c r="D296" s="423" t="s">
        <v>2275</v>
      </c>
      <c r="E296" s="437" t="s">
        <v>2295</v>
      </c>
      <c r="F296" s="408" t="s">
        <v>2134</v>
      </c>
      <c r="G296" s="424" t="s">
        <v>1596</v>
      </c>
      <c r="H296" s="426">
        <v>51691.29</v>
      </c>
    </row>
    <row r="297" spans="1:8" ht="63.75" x14ac:dyDescent="0.25">
      <c r="A297" s="435">
        <v>44921</v>
      </c>
      <c r="B297" s="408" t="s">
        <v>2124</v>
      </c>
      <c r="C297" s="438" t="s">
        <v>2296</v>
      </c>
      <c r="D297" s="423" t="s">
        <v>2275</v>
      </c>
      <c r="E297" s="437" t="s">
        <v>2297</v>
      </c>
      <c r="F297" s="408" t="s">
        <v>2134</v>
      </c>
      <c r="G297" s="424" t="s">
        <v>1596</v>
      </c>
      <c r="H297" s="426">
        <v>51691.29</v>
      </c>
    </row>
    <row r="298" spans="1:8" ht="63.75" x14ac:dyDescent="0.25">
      <c r="A298" s="435">
        <v>44921</v>
      </c>
      <c r="B298" s="408" t="s">
        <v>2124</v>
      </c>
      <c r="C298" s="438" t="s">
        <v>2298</v>
      </c>
      <c r="D298" s="423" t="s">
        <v>2275</v>
      </c>
      <c r="E298" s="437" t="s">
        <v>2299</v>
      </c>
      <c r="F298" s="408" t="s">
        <v>2134</v>
      </c>
      <c r="G298" s="424" t="s">
        <v>1596</v>
      </c>
      <c r="H298" s="426">
        <v>51691.29</v>
      </c>
    </row>
    <row r="299" spans="1:8" ht="63.75" x14ac:dyDescent="0.25">
      <c r="A299" s="435">
        <v>44921</v>
      </c>
      <c r="B299" s="408" t="s">
        <v>2124</v>
      </c>
      <c r="C299" s="438" t="s">
        <v>2300</v>
      </c>
      <c r="D299" s="423" t="s">
        <v>2275</v>
      </c>
      <c r="E299" s="437" t="s">
        <v>2301</v>
      </c>
      <c r="F299" s="408" t="s">
        <v>2134</v>
      </c>
      <c r="G299" s="424" t="s">
        <v>1596</v>
      </c>
      <c r="H299" s="426">
        <v>51691.29</v>
      </c>
    </row>
    <row r="300" spans="1:8" ht="63.75" x14ac:dyDescent="0.25">
      <c r="A300" s="435">
        <v>44921</v>
      </c>
      <c r="B300" s="408" t="s">
        <v>2124</v>
      </c>
      <c r="C300" s="438" t="s">
        <v>2302</v>
      </c>
      <c r="D300" s="423" t="s">
        <v>2275</v>
      </c>
      <c r="E300" s="437" t="s">
        <v>2303</v>
      </c>
      <c r="F300" s="408" t="s">
        <v>2134</v>
      </c>
      <c r="G300" s="424" t="s">
        <v>1596</v>
      </c>
      <c r="H300" s="426">
        <v>51691.29</v>
      </c>
    </row>
    <row r="301" spans="1:8" ht="63.75" x14ac:dyDescent="0.25">
      <c r="A301" s="435">
        <v>44921</v>
      </c>
      <c r="B301" s="408" t="s">
        <v>2124</v>
      </c>
      <c r="C301" s="438" t="s">
        <v>2304</v>
      </c>
      <c r="D301" s="423" t="s">
        <v>2275</v>
      </c>
      <c r="E301" s="437" t="s">
        <v>2305</v>
      </c>
      <c r="F301" s="408" t="s">
        <v>2134</v>
      </c>
      <c r="G301" s="424" t="s">
        <v>1596</v>
      </c>
      <c r="H301" s="426">
        <v>51691.29</v>
      </c>
    </row>
    <row r="302" spans="1:8" ht="63.75" x14ac:dyDescent="0.25">
      <c r="A302" s="435">
        <v>44921</v>
      </c>
      <c r="B302" s="408" t="s">
        <v>2124</v>
      </c>
      <c r="C302" s="438" t="s">
        <v>2306</v>
      </c>
      <c r="D302" s="423" t="s">
        <v>2275</v>
      </c>
      <c r="E302" s="437" t="s">
        <v>2307</v>
      </c>
      <c r="F302" s="408" t="s">
        <v>2134</v>
      </c>
      <c r="G302" s="424" t="s">
        <v>1596</v>
      </c>
      <c r="H302" s="426">
        <v>51691.29</v>
      </c>
    </row>
    <row r="303" spans="1:8" ht="63.75" x14ac:dyDescent="0.25">
      <c r="A303" s="435">
        <v>44921</v>
      </c>
      <c r="B303" s="408" t="s">
        <v>2124</v>
      </c>
      <c r="C303" s="438" t="s">
        <v>2308</v>
      </c>
      <c r="D303" s="423" t="s">
        <v>2275</v>
      </c>
      <c r="E303" s="437" t="s">
        <v>2309</v>
      </c>
      <c r="F303" s="408" t="s">
        <v>2134</v>
      </c>
      <c r="G303" s="424" t="s">
        <v>1596</v>
      </c>
      <c r="H303" s="426">
        <v>51691.29</v>
      </c>
    </row>
    <row r="304" spans="1:8" ht="63.75" x14ac:dyDescent="0.25">
      <c r="A304" s="435">
        <v>44921</v>
      </c>
      <c r="B304" s="408" t="s">
        <v>2124</v>
      </c>
      <c r="C304" s="438" t="s">
        <v>2310</v>
      </c>
      <c r="D304" s="423" t="s">
        <v>2275</v>
      </c>
      <c r="E304" s="437" t="s">
        <v>2311</v>
      </c>
      <c r="F304" s="408" t="s">
        <v>2134</v>
      </c>
      <c r="G304" s="424" t="s">
        <v>1596</v>
      </c>
      <c r="H304" s="426">
        <v>51691.29</v>
      </c>
    </row>
    <row r="305" spans="1:8" ht="63.75" x14ac:dyDescent="0.25">
      <c r="A305" s="435">
        <v>44921</v>
      </c>
      <c r="B305" s="408" t="s">
        <v>2124</v>
      </c>
      <c r="C305" s="438" t="s">
        <v>2312</v>
      </c>
      <c r="D305" s="423" t="s">
        <v>2275</v>
      </c>
      <c r="E305" s="437" t="s">
        <v>2313</v>
      </c>
      <c r="F305" s="408" t="s">
        <v>2134</v>
      </c>
      <c r="G305" s="424" t="s">
        <v>1596</v>
      </c>
      <c r="H305" s="426">
        <v>51691.29</v>
      </c>
    </row>
    <row r="306" spans="1:8" ht="63.75" x14ac:dyDescent="0.25">
      <c r="A306" s="435">
        <v>44921</v>
      </c>
      <c r="B306" s="408" t="s">
        <v>2124</v>
      </c>
      <c r="C306" s="438" t="s">
        <v>2314</v>
      </c>
      <c r="D306" s="423" t="s">
        <v>2275</v>
      </c>
      <c r="E306" s="437" t="s">
        <v>2315</v>
      </c>
      <c r="F306" s="408" t="s">
        <v>2134</v>
      </c>
      <c r="G306" s="424" t="s">
        <v>1596</v>
      </c>
      <c r="H306" s="426">
        <v>51691.29</v>
      </c>
    </row>
    <row r="307" spans="1:8" ht="63.75" x14ac:dyDescent="0.25">
      <c r="A307" s="435">
        <v>44921</v>
      </c>
      <c r="B307" s="408" t="s">
        <v>2124</v>
      </c>
      <c r="C307" s="438" t="s">
        <v>2316</v>
      </c>
      <c r="D307" s="423" t="s">
        <v>2275</v>
      </c>
      <c r="E307" s="437" t="s">
        <v>2317</v>
      </c>
      <c r="F307" s="408" t="s">
        <v>2134</v>
      </c>
      <c r="G307" s="424" t="s">
        <v>1596</v>
      </c>
      <c r="H307" s="426">
        <v>51691.29</v>
      </c>
    </row>
    <row r="308" spans="1:8" ht="63.75" x14ac:dyDescent="0.25">
      <c r="A308" s="435">
        <v>44921</v>
      </c>
      <c r="B308" s="408" t="s">
        <v>2124</v>
      </c>
      <c r="C308" s="438" t="s">
        <v>2318</v>
      </c>
      <c r="D308" s="423" t="s">
        <v>2275</v>
      </c>
      <c r="E308" s="437" t="s">
        <v>2319</v>
      </c>
      <c r="F308" s="408" t="s">
        <v>2134</v>
      </c>
      <c r="G308" s="424" t="s">
        <v>1596</v>
      </c>
      <c r="H308" s="426">
        <v>51691.29</v>
      </c>
    </row>
    <row r="309" spans="1:8" ht="63.75" x14ac:dyDescent="0.25">
      <c r="A309" s="435">
        <v>44921</v>
      </c>
      <c r="B309" s="408" t="s">
        <v>2124</v>
      </c>
      <c r="C309" s="438" t="s">
        <v>2320</v>
      </c>
      <c r="D309" s="423" t="s">
        <v>2275</v>
      </c>
      <c r="E309" s="437" t="s">
        <v>2321</v>
      </c>
      <c r="F309" s="408" t="s">
        <v>2134</v>
      </c>
      <c r="G309" s="424" t="s">
        <v>1596</v>
      </c>
      <c r="H309" s="426">
        <v>51691.29</v>
      </c>
    </row>
    <row r="310" spans="1:8" ht="63.75" x14ac:dyDescent="0.25">
      <c r="A310" s="435">
        <v>44921</v>
      </c>
      <c r="B310" s="408" t="s">
        <v>2124</v>
      </c>
      <c r="C310" s="438" t="s">
        <v>2322</v>
      </c>
      <c r="D310" s="423" t="s">
        <v>2275</v>
      </c>
      <c r="E310" s="437" t="s">
        <v>2323</v>
      </c>
      <c r="F310" s="408" t="s">
        <v>2134</v>
      </c>
      <c r="G310" s="424" t="s">
        <v>1596</v>
      </c>
      <c r="H310" s="426">
        <v>51691.29</v>
      </c>
    </row>
    <row r="311" spans="1:8" ht="63.75" x14ac:dyDescent="0.25">
      <c r="A311" s="435">
        <v>44921</v>
      </c>
      <c r="B311" s="408" t="s">
        <v>2124</v>
      </c>
      <c r="C311" s="438" t="s">
        <v>2324</v>
      </c>
      <c r="D311" s="423" t="s">
        <v>2275</v>
      </c>
      <c r="E311" s="437" t="s">
        <v>2325</v>
      </c>
      <c r="F311" s="408" t="s">
        <v>2134</v>
      </c>
      <c r="G311" s="424" t="s">
        <v>1596</v>
      </c>
      <c r="H311" s="426">
        <v>51691.29</v>
      </c>
    </row>
    <row r="312" spans="1:8" ht="63.75" x14ac:dyDescent="0.25">
      <c r="A312" s="435">
        <v>44921</v>
      </c>
      <c r="B312" s="408" t="s">
        <v>2124</v>
      </c>
      <c r="C312" s="438" t="s">
        <v>2326</v>
      </c>
      <c r="D312" s="423" t="s">
        <v>2275</v>
      </c>
      <c r="E312" s="437" t="s">
        <v>2327</v>
      </c>
      <c r="F312" s="408" t="s">
        <v>2134</v>
      </c>
      <c r="G312" s="424" t="s">
        <v>1596</v>
      </c>
      <c r="H312" s="426">
        <v>51691.29</v>
      </c>
    </row>
    <row r="313" spans="1:8" ht="63.75" x14ac:dyDescent="0.25">
      <c r="A313" s="435">
        <v>44921</v>
      </c>
      <c r="B313" s="408" t="s">
        <v>2124</v>
      </c>
      <c r="C313" s="438" t="s">
        <v>2328</v>
      </c>
      <c r="D313" s="423" t="s">
        <v>2275</v>
      </c>
      <c r="E313" s="437" t="s">
        <v>2329</v>
      </c>
      <c r="F313" s="408" t="s">
        <v>2134</v>
      </c>
      <c r="G313" s="424" t="s">
        <v>1596</v>
      </c>
      <c r="H313" s="426">
        <v>51691.29</v>
      </c>
    </row>
    <row r="314" spans="1:8" ht="63.75" x14ac:dyDescent="0.25">
      <c r="A314" s="435">
        <v>44921</v>
      </c>
      <c r="B314" s="408" t="s">
        <v>2124</v>
      </c>
      <c r="C314" s="438" t="s">
        <v>2330</v>
      </c>
      <c r="D314" s="423" t="s">
        <v>2275</v>
      </c>
      <c r="E314" s="437" t="s">
        <v>2331</v>
      </c>
      <c r="F314" s="408" t="s">
        <v>2134</v>
      </c>
      <c r="G314" s="424" t="s">
        <v>1596</v>
      </c>
      <c r="H314" s="426">
        <v>51691.29</v>
      </c>
    </row>
    <row r="315" spans="1:8" ht="63.75" x14ac:dyDescent="0.25">
      <c r="A315" s="435">
        <v>44921</v>
      </c>
      <c r="B315" s="408" t="s">
        <v>2124</v>
      </c>
      <c r="C315" s="438" t="s">
        <v>2332</v>
      </c>
      <c r="D315" s="423" t="s">
        <v>2275</v>
      </c>
      <c r="E315" s="437" t="s">
        <v>2333</v>
      </c>
      <c r="F315" s="408" t="s">
        <v>2134</v>
      </c>
      <c r="G315" s="424" t="s">
        <v>1596</v>
      </c>
      <c r="H315" s="426">
        <v>51691.29</v>
      </c>
    </row>
    <row r="316" spans="1:8" ht="75" x14ac:dyDescent="0.25">
      <c r="A316" s="476">
        <v>44950</v>
      </c>
      <c r="B316" s="479" t="s">
        <v>4110</v>
      </c>
      <c r="C316" s="480" t="s">
        <v>4111</v>
      </c>
      <c r="D316" s="481" t="s">
        <v>4112</v>
      </c>
      <c r="E316" s="477" t="s">
        <v>18</v>
      </c>
      <c r="F316" s="479" t="s">
        <v>4106</v>
      </c>
      <c r="G316" s="432" t="s">
        <v>1445</v>
      </c>
      <c r="H316" s="478">
        <v>14999.99</v>
      </c>
    </row>
    <row r="317" spans="1:8" ht="75" x14ac:dyDescent="0.25">
      <c r="A317" s="476">
        <v>44950</v>
      </c>
      <c r="B317" s="479" t="s">
        <v>4110</v>
      </c>
      <c r="C317" s="480" t="s">
        <v>4155</v>
      </c>
      <c r="D317" s="481" t="s">
        <v>4112</v>
      </c>
      <c r="E317" s="477" t="s">
        <v>18</v>
      </c>
      <c r="F317" s="479" t="s">
        <v>4106</v>
      </c>
      <c r="G317" s="432" t="s">
        <v>1445</v>
      </c>
      <c r="H317" s="478">
        <v>14999.99</v>
      </c>
    </row>
    <row r="318" spans="1:8" ht="75" x14ac:dyDescent="0.25">
      <c r="A318" s="476">
        <v>44950</v>
      </c>
      <c r="B318" s="479" t="s">
        <v>4110</v>
      </c>
      <c r="C318" s="480" t="s">
        <v>4156</v>
      </c>
      <c r="D318" s="481" t="s">
        <v>4112</v>
      </c>
      <c r="E318" s="477" t="s">
        <v>18</v>
      </c>
      <c r="F318" s="479" t="s">
        <v>4106</v>
      </c>
      <c r="G318" s="432" t="s">
        <v>1445</v>
      </c>
      <c r="H318" s="478">
        <v>14999.99</v>
      </c>
    </row>
    <row r="319" spans="1:8" ht="75" x14ac:dyDescent="0.25">
      <c r="A319" s="476">
        <v>44950</v>
      </c>
      <c r="B319" s="479" t="s">
        <v>4110</v>
      </c>
      <c r="C319" s="480" t="s">
        <v>4157</v>
      </c>
      <c r="D319" s="481" t="s">
        <v>4112</v>
      </c>
      <c r="E319" s="477" t="s">
        <v>18</v>
      </c>
      <c r="F319" s="479" t="s">
        <v>4106</v>
      </c>
      <c r="G319" s="432" t="s">
        <v>1445</v>
      </c>
      <c r="H319" s="478">
        <v>14999.99</v>
      </c>
    </row>
    <row r="320" spans="1:8" ht="60" x14ac:dyDescent="0.25">
      <c r="A320" s="476">
        <v>44950</v>
      </c>
      <c r="B320" s="479" t="s">
        <v>4110</v>
      </c>
      <c r="C320" s="480" t="s">
        <v>4158</v>
      </c>
      <c r="D320" s="481" t="s">
        <v>4112</v>
      </c>
      <c r="E320" s="477" t="s">
        <v>18</v>
      </c>
      <c r="F320" s="479" t="s">
        <v>4107</v>
      </c>
      <c r="G320" s="432" t="s">
        <v>1445</v>
      </c>
      <c r="H320" s="478">
        <v>14999.99</v>
      </c>
    </row>
    <row r="321" spans="1:8" ht="60" x14ac:dyDescent="0.25">
      <c r="A321" s="476">
        <v>44950</v>
      </c>
      <c r="B321" s="479" t="s">
        <v>4110</v>
      </c>
      <c r="C321" s="480" t="s">
        <v>4159</v>
      </c>
      <c r="D321" s="481" t="s">
        <v>4112</v>
      </c>
      <c r="E321" s="477" t="s">
        <v>18</v>
      </c>
      <c r="F321" s="479" t="s">
        <v>4107</v>
      </c>
      <c r="G321" s="432" t="s">
        <v>1445</v>
      </c>
      <c r="H321" s="478">
        <v>14999.99</v>
      </c>
    </row>
    <row r="322" spans="1:8" ht="75" x14ac:dyDescent="0.25">
      <c r="A322" s="476">
        <v>44950</v>
      </c>
      <c r="B322" s="479" t="s">
        <v>4110</v>
      </c>
      <c r="C322" s="480" t="s">
        <v>4160</v>
      </c>
      <c r="D322" s="481" t="s">
        <v>4112</v>
      </c>
      <c r="E322" s="477" t="s">
        <v>18</v>
      </c>
      <c r="F322" s="479" t="s">
        <v>4114</v>
      </c>
      <c r="G322" s="432" t="s">
        <v>4105</v>
      </c>
      <c r="H322" s="478">
        <v>14999.99</v>
      </c>
    </row>
    <row r="323" spans="1:8" ht="75" x14ac:dyDescent="0.25">
      <c r="A323" s="476">
        <v>44950</v>
      </c>
      <c r="B323" s="479" t="s">
        <v>4110</v>
      </c>
      <c r="C323" s="480" t="s">
        <v>4161</v>
      </c>
      <c r="D323" s="481" t="s">
        <v>4112</v>
      </c>
      <c r="E323" s="477" t="s">
        <v>18</v>
      </c>
      <c r="F323" s="479" t="s">
        <v>4114</v>
      </c>
      <c r="G323" s="432" t="s">
        <v>4105</v>
      </c>
      <c r="H323" s="478">
        <v>14999.99</v>
      </c>
    </row>
    <row r="324" spans="1:8" ht="75" x14ac:dyDescent="0.25">
      <c r="A324" s="476">
        <v>44950</v>
      </c>
      <c r="B324" s="479" t="s">
        <v>4110</v>
      </c>
      <c r="C324" s="480" t="s">
        <v>4162</v>
      </c>
      <c r="D324" s="486" t="s">
        <v>4113</v>
      </c>
      <c r="E324" s="477" t="s">
        <v>18</v>
      </c>
      <c r="F324" s="479" t="s">
        <v>4106</v>
      </c>
      <c r="G324" s="432" t="s">
        <v>1445</v>
      </c>
      <c r="H324" s="470">
        <v>13500</v>
      </c>
    </row>
    <row r="325" spans="1:8" ht="75" x14ac:dyDescent="0.25">
      <c r="A325" s="476">
        <v>44950</v>
      </c>
      <c r="B325" s="479" t="s">
        <v>4110</v>
      </c>
      <c r="C325" s="480" t="s">
        <v>4163</v>
      </c>
      <c r="D325" s="486" t="s">
        <v>4113</v>
      </c>
      <c r="E325" s="477" t="s">
        <v>18</v>
      </c>
      <c r="F325" s="479" t="s">
        <v>4106</v>
      </c>
      <c r="G325" s="432" t="s">
        <v>1445</v>
      </c>
      <c r="H325" s="470">
        <v>13500</v>
      </c>
    </row>
    <row r="326" spans="1:8" ht="75" x14ac:dyDescent="0.25">
      <c r="A326" s="476">
        <v>44950</v>
      </c>
      <c r="B326" s="479" t="s">
        <v>4110</v>
      </c>
      <c r="C326" s="480" t="s">
        <v>4164</v>
      </c>
      <c r="D326" s="486" t="s">
        <v>4113</v>
      </c>
      <c r="E326" s="477" t="s">
        <v>18</v>
      </c>
      <c r="F326" s="479" t="s">
        <v>4106</v>
      </c>
      <c r="G326" s="432" t="s">
        <v>1445</v>
      </c>
      <c r="H326" s="470">
        <v>13500</v>
      </c>
    </row>
    <row r="327" spans="1:8" ht="75" x14ac:dyDescent="0.25">
      <c r="A327" s="476">
        <v>44950</v>
      </c>
      <c r="B327" s="479" t="s">
        <v>4110</v>
      </c>
      <c r="C327" s="480" t="s">
        <v>4165</v>
      </c>
      <c r="D327" s="486" t="s">
        <v>4113</v>
      </c>
      <c r="E327" s="477" t="s">
        <v>18</v>
      </c>
      <c r="F327" s="479" t="s">
        <v>4106</v>
      </c>
      <c r="G327" s="432" t="s">
        <v>1445</v>
      </c>
      <c r="H327" s="470">
        <v>13500</v>
      </c>
    </row>
    <row r="328" spans="1:8" ht="60" x14ac:dyDescent="0.25">
      <c r="A328" s="476">
        <v>44950</v>
      </c>
      <c r="B328" s="479" t="s">
        <v>4110</v>
      </c>
      <c r="C328" s="480" t="s">
        <v>4166</v>
      </c>
      <c r="D328" s="486" t="s">
        <v>4113</v>
      </c>
      <c r="E328" s="477" t="s">
        <v>18</v>
      </c>
      <c r="F328" s="484" t="s">
        <v>4101</v>
      </c>
      <c r="G328" s="432" t="s">
        <v>1445</v>
      </c>
      <c r="H328" s="470">
        <v>13500</v>
      </c>
    </row>
    <row r="329" spans="1:8" ht="60" x14ac:dyDescent="0.25">
      <c r="A329" s="476">
        <v>44950</v>
      </c>
      <c r="B329" s="479" t="s">
        <v>4110</v>
      </c>
      <c r="C329" s="480" t="s">
        <v>4167</v>
      </c>
      <c r="D329" s="486" t="s">
        <v>4113</v>
      </c>
      <c r="E329" s="477" t="s">
        <v>18</v>
      </c>
      <c r="F329" s="484" t="s">
        <v>4101</v>
      </c>
      <c r="G329" s="432" t="s">
        <v>1445</v>
      </c>
      <c r="H329" s="470">
        <v>13500</v>
      </c>
    </row>
    <row r="330" spans="1:8" ht="60" x14ac:dyDescent="0.25">
      <c r="A330" s="476">
        <v>44950</v>
      </c>
      <c r="B330" s="479" t="s">
        <v>4110</v>
      </c>
      <c r="C330" s="480" t="s">
        <v>4168</v>
      </c>
      <c r="D330" s="486" t="s">
        <v>4113</v>
      </c>
      <c r="E330" s="477" t="s">
        <v>18</v>
      </c>
      <c r="F330" s="484" t="s">
        <v>4101</v>
      </c>
      <c r="G330" s="432" t="s">
        <v>1445</v>
      </c>
      <c r="H330" s="470">
        <v>13500</v>
      </c>
    </row>
    <row r="331" spans="1:8" ht="60" x14ac:dyDescent="0.25">
      <c r="A331" s="476">
        <v>44950</v>
      </c>
      <c r="B331" s="479" t="s">
        <v>4110</v>
      </c>
      <c r="C331" s="480" t="s">
        <v>4169</v>
      </c>
      <c r="D331" s="486" t="s">
        <v>4113</v>
      </c>
      <c r="E331" s="477" t="s">
        <v>18</v>
      </c>
      <c r="F331" s="485" t="s">
        <v>4107</v>
      </c>
      <c r="G331" s="432" t="s">
        <v>1445</v>
      </c>
      <c r="H331" s="470">
        <v>13500</v>
      </c>
    </row>
    <row r="332" spans="1:8" ht="60" x14ac:dyDescent="0.25">
      <c r="A332" s="476">
        <v>44950</v>
      </c>
      <c r="B332" s="479" t="s">
        <v>4110</v>
      </c>
      <c r="C332" s="480" t="s">
        <v>4170</v>
      </c>
      <c r="D332" s="486" t="s">
        <v>4113</v>
      </c>
      <c r="E332" s="477" t="s">
        <v>18</v>
      </c>
      <c r="F332" s="485" t="s">
        <v>4107</v>
      </c>
      <c r="G332" s="432" t="s">
        <v>1445</v>
      </c>
      <c r="H332" s="470">
        <v>13500</v>
      </c>
    </row>
    <row r="333" spans="1:8" ht="60" x14ac:dyDescent="0.25">
      <c r="A333" s="476">
        <v>44950</v>
      </c>
      <c r="B333" s="479" t="s">
        <v>4110</v>
      </c>
      <c r="C333" s="480" t="s">
        <v>4171</v>
      </c>
      <c r="D333" s="486" t="s">
        <v>4113</v>
      </c>
      <c r="E333" s="477" t="s">
        <v>18</v>
      </c>
      <c r="F333" s="485" t="s">
        <v>4107</v>
      </c>
      <c r="G333" s="432" t="s">
        <v>1445</v>
      </c>
      <c r="H333" s="470">
        <v>13500</v>
      </c>
    </row>
    <row r="334" spans="1:8" ht="60" x14ac:dyDescent="0.25">
      <c r="A334" s="476">
        <v>44950</v>
      </c>
      <c r="B334" s="479" t="s">
        <v>4110</v>
      </c>
      <c r="C334" s="480" t="s">
        <v>4172</v>
      </c>
      <c r="D334" s="486" t="s">
        <v>4113</v>
      </c>
      <c r="E334" s="477" t="s">
        <v>18</v>
      </c>
      <c r="F334" s="485" t="s">
        <v>4107</v>
      </c>
      <c r="G334" s="432" t="s">
        <v>1445</v>
      </c>
      <c r="H334" s="470">
        <v>13500</v>
      </c>
    </row>
    <row r="335" spans="1:8" ht="60" x14ac:dyDescent="0.25">
      <c r="A335" s="476">
        <v>44950</v>
      </c>
      <c r="B335" s="479" t="s">
        <v>4110</v>
      </c>
      <c r="C335" s="480" t="s">
        <v>4173</v>
      </c>
      <c r="D335" s="486" t="s">
        <v>4113</v>
      </c>
      <c r="E335" s="477" t="s">
        <v>18</v>
      </c>
      <c r="F335" s="485" t="s">
        <v>4107</v>
      </c>
      <c r="G335" s="432" t="s">
        <v>1445</v>
      </c>
      <c r="H335" s="470">
        <v>13500</v>
      </c>
    </row>
    <row r="336" spans="1:8" ht="75" x14ac:dyDescent="0.25">
      <c r="A336" s="476">
        <v>44950</v>
      </c>
      <c r="B336" s="479" t="s">
        <v>4110</v>
      </c>
      <c r="C336" s="480" t="s">
        <v>4174</v>
      </c>
      <c r="D336" s="486" t="s">
        <v>4113</v>
      </c>
      <c r="E336" s="477" t="s">
        <v>18</v>
      </c>
      <c r="F336" s="485" t="s">
        <v>4103</v>
      </c>
      <c r="G336" s="487" t="s">
        <v>4105</v>
      </c>
      <c r="H336" s="470">
        <v>13500</v>
      </c>
    </row>
    <row r="337" spans="1:8" ht="60" x14ac:dyDescent="0.25">
      <c r="A337" s="476">
        <v>44950</v>
      </c>
      <c r="B337" s="479" t="s">
        <v>4110</v>
      </c>
      <c r="C337" s="480" t="s">
        <v>4175</v>
      </c>
      <c r="D337" s="486" t="s">
        <v>4113</v>
      </c>
      <c r="E337" s="477" t="s">
        <v>18</v>
      </c>
      <c r="F337" s="484" t="s">
        <v>4104</v>
      </c>
      <c r="G337" s="487" t="s">
        <v>4105</v>
      </c>
      <c r="H337" s="470">
        <v>13500</v>
      </c>
    </row>
    <row r="338" spans="1:8" ht="60" x14ac:dyDescent="0.25">
      <c r="A338" s="476">
        <v>44950</v>
      </c>
      <c r="B338" s="479" t="s">
        <v>4110</v>
      </c>
      <c r="C338" s="480" t="s">
        <v>4176</v>
      </c>
      <c r="D338" s="486" t="s">
        <v>4113</v>
      </c>
      <c r="E338" s="477" t="s">
        <v>18</v>
      </c>
      <c r="F338" s="484" t="s">
        <v>4104</v>
      </c>
      <c r="G338" s="487" t="s">
        <v>4105</v>
      </c>
      <c r="H338" s="470">
        <v>13500</v>
      </c>
    </row>
    <row r="339" spans="1:8" ht="75" x14ac:dyDescent="0.25">
      <c r="A339" s="476">
        <v>44950</v>
      </c>
      <c r="B339" s="479" t="s">
        <v>4110</v>
      </c>
      <c r="C339" s="480" t="s">
        <v>4177</v>
      </c>
      <c r="D339" s="485" t="s">
        <v>4115</v>
      </c>
      <c r="E339" s="477" t="s">
        <v>18</v>
      </c>
      <c r="F339" s="485" t="s">
        <v>4106</v>
      </c>
      <c r="G339" s="485" t="s">
        <v>1445</v>
      </c>
      <c r="H339" s="470">
        <v>65000</v>
      </c>
    </row>
    <row r="340" spans="1:8" ht="60" x14ac:dyDescent="0.25">
      <c r="A340" s="476">
        <v>44950</v>
      </c>
      <c r="B340" s="479" t="s">
        <v>4110</v>
      </c>
      <c r="C340" s="480" t="s">
        <v>4178</v>
      </c>
      <c r="D340" s="485" t="s">
        <v>4115</v>
      </c>
      <c r="E340" s="477" t="s">
        <v>18</v>
      </c>
      <c r="F340" s="485" t="s">
        <v>4107</v>
      </c>
      <c r="G340" s="485" t="s">
        <v>1445</v>
      </c>
      <c r="H340" s="470">
        <v>65000</v>
      </c>
    </row>
    <row r="341" spans="1:8" ht="60" x14ac:dyDescent="0.25">
      <c r="A341" s="476">
        <v>44950</v>
      </c>
      <c r="B341" s="479" t="s">
        <v>4110</v>
      </c>
      <c r="C341" s="480" t="s">
        <v>4179</v>
      </c>
      <c r="D341" s="485" t="s">
        <v>4115</v>
      </c>
      <c r="E341" s="477" t="s">
        <v>18</v>
      </c>
      <c r="F341" s="485" t="s">
        <v>4107</v>
      </c>
      <c r="G341" s="485" t="s">
        <v>1445</v>
      </c>
      <c r="H341" s="470">
        <v>65000</v>
      </c>
    </row>
    <row r="342" spans="1:8" ht="60" x14ac:dyDescent="0.25">
      <c r="A342" s="476">
        <v>44950</v>
      </c>
      <c r="B342" s="479" t="s">
        <v>4110</v>
      </c>
      <c r="C342" s="480" t="s">
        <v>4180</v>
      </c>
      <c r="D342" s="485" t="s">
        <v>4115</v>
      </c>
      <c r="E342" s="477" t="s">
        <v>18</v>
      </c>
      <c r="F342" s="485" t="s">
        <v>4107</v>
      </c>
      <c r="G342" s="485" t="s">
        <v>1445</v>
      </c>
      <c r="H342" s="470">
        <v>65000</v>
      </c>
    </row>
    <row r="343" spans="1:8" ht="60" x14ac:dyDescent="0.25">
      <c r="A343" s="476">
        <v>44950</v>
      </c>
      <c r="B343" s="479" t="s">
        <v>4110</v>
      </c>
      <c r="C343" s="480" t="s">
        <v>4181</v>
      </c>
      <c r="D343" s="485" t="s">
        <v>4115</v>
      </c>
      <c r="E343" s="477" t="s">
        <v>18</v>
      </c>
      <c r="F343" s="485" t="s">
        <v>4107</v>
      </c>
      <c r="G343" s="485" t="s">
        <v>1445</v>
      </c>
      <c r="H343" s="470">
        <v>65000</v>
      </c>
    </row>
    <row r="344" spans="1:8" ht="75" x14ac:dyDescent="0.25">
      <c r="A344" s="476">
        <v>44950</v>
      </c>
      <c r="B344" s="479" t="s">
        <v>4110</v>
      </c>
      <c r="C344" s="480" t="s">
        <v>4182</v>
      </c>
      <c r="D344" s="485" t="s">
        <v>4115</v>
      </c>
      <c r="E344" s="477" t="s">
        <v>18</v>
      </c>
      <c r="F344" s="485" t="s">
        <v>4114</v>
      </c>
      <c r="G344" s="482" t="s">
        <v>4105</v>
      </c>
      <c r="H344" s="470">
        <v>65000</v>
      </c>
    </row>
    <row r="345" spans="1:8" ht="60" x14ac:dyDescent="0.25">
      <c r="A345" s="476">
        <v>44950</v>
      </c>
      <c r="B345" s="479" t="s">
        <v>4110</v>
      </c>
      <c r="C345" s="480" t="s">
        <v>4183</v>
      </c>
      <c r="D345" s="485" t="s">
        <v>4116</v>
      </c>
      <c r="E345" s="477" t="s">
        <v>18</v>
      </c>
      <c r="F345" s="485" t="s">
        <v>4107</v>
      </c>
      <c r="G345" s="485" t="s">
        <v>1445</v>
      </c>
      <c r="H345" s="470">
        <v>67500</v>
      </c>
    </row>
    <row r="346" spans="1:8" ht="60" x14ac:dyDescent="0.25">
      <c r="A346" s="476">
        <v>44950</v>
      </c>
      <c r="B346" s="479" t="s">
        <v>4110</v>
      </c>
      <c r="C346" s="480" t="s">
        <v>4184</v>
      </c>
      <c r="D346" s="485" t="s">
        <v>4116</v>
      </c>
      <c r="E346" s="477" t="s">
        <v>18</v>
      </c>
      <c r="F346" s="485" t="s">
        <v>4107</v>
      </c>
      <c r="G346" s="485" t="s">
        <v>1445</v>
      </c>
      <c r="H346" s="470">
        <v>67500</v>
      </c>
    </row>
    <row r="347" spans="1:8" ht="60" x14ac:dyDescent="0.25">
      <c r="A347" s="476">
        <v>44950</v>
      </c>
      <c r="B347" s="479" t="s">
        <v>4110</v>
      </c>
      <c r="C347" s="480" t="s">
        <v>4185</v>
      </c>
      <c r="D347" s="485" t="s">
        <v>4116</v>
      </c>
      <c r="E347" s="477" t="s">
        <v>18</v>
      </c>
      <c r="F347" s="485" t="s">
        <v>4107</v>
      </c>
      <c r="G347" s="485" t="s">
        <v>1445</v>
      </c>
      <c r="H347" s="470">
        <v>67500</v>
      </c>
    </row>
    <row r="348" spans="1:8" ht="75" x14ac:dyDescent="0.25">
      <c r="A348" s="476">
        <v>44950</v>
      </c>
      <c r="B348" s="479" t="s">
        <v>4110</v>
      </c>
      <c r="C348" s="480" t="s">
        <v>4186</v>
      </c>
      <c r="D348" s="485" t="s">
        <v>4116</v>
      </c>
      <c r="E348" s="477" t="s">
        <v>18</v>
      </c>
      <c r="F348" s="485" t="s">
        <v>4103</v>
      </c>
      <c r="G348" s="491" t="s">
        <v>4105</v>
      </c>
      <c r="H348" s="470">
        <v>67500</v>
      </c>
    </row>
    <row r="349" spans="1:8" ht="75" x14ac:dyDescent="0.25">
      <c r="A349" s="476">
        <v>44950</v>
      </c>
      <c r="B349" s="479" t="s">
        <v>4110</v>
      </c>
      <c r="C349" s="480" t="s">
        <v>4187</v>
      </c>
      <c r="D349" s="485" t="s">
        <v>4117</v>
      </c>
      <c r="E349" s="477" t="s">
        <v>18</v>
      </c>
      <c r="F349" s="485" t="s">
        <v>4106</v>
      </c>
      <c r="G349" s="485" t="s">
        <v>1445</v>
      </c>
      <c r="H349" s="470">
        <v>22000</v>
      </c>
    </row>
    <row r="350" spans="1:8" ht="60" x14ac:dyDescent="0.25">
      <c r="A350" s="476">
        <v>44950</v>
      </c>
      <c r="B350" s="479" t="s">
        <v>4110</v>
      </c>
      <c r="C350" s="480" t="s">
        <v>4188</v>
      </c>
      <c r="D350" s="485" t="s">
        <v>4117</v>
      </c>
      <c r="E350" s="477" t="s">
        <v>18</v>
      </c>
      <c r="F350" s="485" t="s">
        <v>4107</v>
      </c>
      <c r="G350" s="485" t="s">
        <v>1445</v>
      </c>
      <c r="H350" s="470">
        <v>22000</v>
      </c>
    </row>
    <row r="351" spans="1:8" ht="75" x14ac:dyDescent="0.25">
      <c r="A351" s="476">
        <v>44950</v>
      </c>
      <c r="B351" s="479" t="s">
        <v>4110</v>
      </c>
      <c r="C351" s="480" t="s">
        <v>4189</v>
      </c>
      <c r="D351" s="485" t="s">
        <v>4117</v>
      </c>
      <c r="E351" s="477" t="s">
        <v>18</v>
      </c>
      <c r="F351" s="485" t="s">
        <v>4103</v>
      </c>
      <c r="G351" s="491" t="s">
        <v>4105</v>
      </c>
      <c r="H351" s="470">
        <v>22000</v>
      </c>
    </row>
    <row r="352" spans="1:8" ht="60" x14ac:dyDescent="0.25">
      <c r="A352" s="476">
        <v>44950</v>
      </c>
      <c r="B352" s="479" t="s">
        <v>4110</v>
      </c>
      <c r="C352" s="480" t="s">
        <v>4190</v>
      </c>
      <c r="D352" s="485" t="s">
        <v>4118</v>
      </c>
      <c r="E352" s="477" t="s">
        <v>18</v>
      </c>
      <c r="F352" s="485" t="s">
        <v>4107</v>
      </c>
      <c r="G352" s="485" t="s">
        <v>1445</v>
      </c>
      <c r="H352" s="470">
        <v>74999.990000000005</v>
      </c>
    </row>
    <row r="353" spans="1:8" ht="60" x14ac:dyDescent="0.25">
      <c r="A353" s="476">
        <v>44950</v>
      </c>
      <c r="B353" s="479" t="s">
        <v>4110</v>
      </c>
      <c r="C353" s="480" t="s">
        <v>4191</v>
      </c>
      <c r="D353" s="485" t="s">
        <v>4118</v>
      </c>
      <c r="E353" s="477" t="s">
        <v>18</v>
      </c>
      <c r="F353" s="485" t="s">
        <v>4107</v>
      </c>
      <c r="G353" s="485" t="s">
        <v>1445</v>
      </c>
      <c r="H353" s="470">
        <v>74999.990000000005</v>
      </c>
    </row>
    <row r="354" spans="1:8" ht="60" x14ac:dyDescent="0.25">
      <c r="A354" s="476">
        <v>44950</v>
      </c>
      <c r="B354" s="479" t="s">
        <v>4110</v>
      </c>
      <c r="C354" s="480" t="s">
        <v>4192</v>
      </c>
      <c r="D354" s="485" t="s">
        <v>4118</v>
      </c>
      <c r="E354" s="477" t="s">
        <v>18</v>
      </c>
      <c r="F354" s="485" t="s">
        <v>4107</v>
      </c>
      <c r="G354" s="485" t="s">
        <v>1445</v>
      </c>
      <c r="H354" s="470">
        <v>74999.990000000005</v>
      </c>
    </row>
    <row r="355" spans="1:8" ht="45" x14ac:dyDescent="0.25">
      <c r="A355" s="476">
        <v>44950</v>
      </c>
      <c r="B355" s="479" t="s">
        <v>4110</v>
      </c>
      <c r="C355" s="480" t="s">
        <v>4193</v>
      </c>
      <c r="D355" s="485" t="s">
        <v>4118</v>
      </c>
      <c r="E355" s="477" t="s">
        <v>18</v>
      </c>
      <c r="F355" s="485" t="s">
        <v>4102</v>
      </c>
      <c r="G355" s="491" t="s">
        <v>4105</v>
      </c>
      <c r="H355" s="470">
        <v>74999.990000000005</v>
      </c>
    </row>
    <row r="356" spans="1:8" ht="75" x14ac:dyDescent="0.25">
      <c r="A356" s="435">
        <v>44950</v>
      </c>
      <c r="B356" s="479" t="s">
        <v>4110</v>
      </c>
      <c r="C356" s="480" t="s">
        <v>4194</v>
      </c>
      <c r="D356" s="485" t="s">
        <v>4118</v>
      </c>
      <c r="E356" s="477" t="s">
        <v>18</v>
      </c>
      <c r="F356" s="485" t="s">
        <v>4103</v>
      </c>
      <c r="G356" s="491" t="s">
        <v>4105</v>
      </c>
      <c r="H356" s="470">
        <v>74999.990000000005</v>
      </c>
    </row>
    <row r="357" spans="1:8" ht="60" x14ac:dyDescent="0.25">
      <c r="A357" s="435">
        <v>44950</v>
      </c>
      <c r="B357" s="479" t="s">
        <v>4110</v>
      </c>
      <c r="C357" s="480" t="s">
        <v>4195</v>
      </c>
      <c r="D357" s="482" t="s">
        <v>4119</v>
      </c>
      <c r="E357" s="477" t="s">
        <v>18</v>
      </c>
      <c r="F357" s="485" t="s">
        <v>4107</v>
      </c>
      <c r="G357" s="485" t="s">
        <v>1445</v>
      </c>
      <c r="H357" s="470">
        <v>7199.99</v>
      </c>
    </row>
    <row r="358" spans="1:8" ht="75" x14ac:dyDescent="0.25">
      <c r="A358" s="435">
        <v>44950</v>
      </c>
      <c r="B358" s="479" t="s">
        <v>4110</v>
      </c>
      <c r="C358" s="480" t="s">
        <v>4196</v>
      </c>
      <c r="D358" s="482" t="s">
        <v>4119</v>
      </c>
      <c r="E358" s="477" t="s">
        <v>18</v>
      </c>
      <c r="F358" s="485" t="s">
        <v>4103</v>
      </c>
      <c r="G358" s="491" t="s">
        <v>4105</v>
      </c>
      <c r="H358" s="470">
        <v>7199.99</v>
      </c>
    </row>
    <row r="359" spans="1:8" ht="60" x14ac:dyDescent="0.25">
      <c r="A359" s="435">
        <v>44950</v>
      </c>
      <c r="B359" s="479" t="s">
        <v>4154</v>
      </c>
      <c r="C359" s="480" t="s">
        <v>4197</v>
      </c>
      <c r="D359" s="482" t="s">
        <v>4119</v>
      </c>
      <c r="E359" s="477" t="s">
        <v>18</v>
      </c>
      <c r="F359" s="485" t="s">
        <v>4104</v>
      </c>
      <c r="G359" s="491" t="s">
        <v>4105</v>
      </c>
      <c r="H359" s="470">
        <v>7199.99</v>
      </c>
    </row>
    <row r="360" spans="1:8" ht="75" x14ac:dyDescent="0.25">
      <c r="A360" s="435">
        <v>44950</v>
      </c>
      <c r="B360" s="479" t="s">
        <v>4110</v>
      </c>
      <c r="C360" s="480" t="s">
        <v>4198</v>
      </c>
      <c r="D360" s="485" t="s">
        <v>4120</v>
      </c>
      <c r="E360" s="477" t="s">
        <v>18</v>
      </c>
      <c r="F360" s="485" t="s">
        <v>4106</v>
      </c>
      <c r="G360" s="485" t="s">
        <v>1445</v>
      </c>
      <c r="H360" s="470">
        <v>17599.990000000002</v>
      </c>
    </row>
    <row r="361" spans="1:8" ht="60" x14ac:dyDescent="0.25">
      <c r="A361" s="435">
        <v>44950</v>
      </c>
      <c r="B361" s="479" t="s">
        <v>4110</v>
      </c>
      <c r="C361" s="480" t="s">
        <v>4199</v>
      </c>
      <c r="D361" s="485" t="s">
        <v>4121</v>
      </c>
      <c r="E361" s="477" t="s">
        <v>18</v>
      </c>
      <c r="F361" s="485" t="s">
        <v>4107</v>
      </c>
      <c r="G361" s="485" t="s">
        <v>1445</v>
      </c>
      <c r="H361" s="470">
        <v>17599.990000000002</v>
      </c>
    </row>
    <row r="362" spans="1:8" ht="75" x14ac:dyDescent="0.25">
      <c r="A362" s="435">
        <v>44950</v>
      </c>
      <c r="B362" s="479" t="s">
        <v>4110</v>
      </c>
      <c r="C362" s="480" t="s">
        <v>4200</v>
      </c>
      <c r="D362" s="485" t="s">
        <v>4122</v>
      </c>
      <c r="E362" s="477" t="s">
        <v>18</v>
      </c>
      <c r="F362" s="485" t="s">
        <v>4103</v>
      </c>
      <c r="G362" s="491" t="s">
        <v>4105</v>
      </c>
      <c r="H362" s="470">
        <v>17599.990000000002</v>
      </c>
    </row>
    <row r="363" spans="1:8" ht="60" x14ac:dyDescent="0.25">
      <c r="A363" s="435">
        <v>44950</v>
      </c>
      <c r="B363" s="479" t="s">
        <v>4110</v>
      </c>
      <c r="C363" s="480" t="s">
        <v>4201</v>
      </c>
      <c r="D363" s="485" t="s">
        <v>4123</v>
      </c>
      <c r="E363" s="477" t="s">
        <v>18</v>
      </c>
      <c r="F363" s="485" t="s">
        <v>4104</v>
      </c>
      <c r="G363" s="485" t="s">
        <v>1445</v>
      </c>
      <c r="H363" s="470">
        <v>17599.990000000002</v>
      </c>
    </row>
    <row r="364" spans="1:8" ht="75" x14ac:dyDescent="0.25">
      <c r="A364" s="435">
        <v>44950</v>
      </c>
      <c r="B364" s="479" t="s">
        <v>4110</v>
      </c>
      <c r="C364" s="480" t="s">
        <v>4202</v>
      </c>
      <c r="D364" s="485" t="s">
        <v>4124</v>
      </c>
      <c r="E364" s="477" t="s">
        <v>18</v>
      </c>
      <c r="F364" s="485" t="s">
        <v>4106</v>
      </c>
      <c r="G364" s="485" t="s">
        <v>1445</v>
      </c>
      <c r="H364" s="470">
        <v>14999.99</v>
      </c>
    </row>
    <row r="365" spans="1:8" ht="75" x14ac:dyDescent="0.25">
      <c r="A365" s="435">
        <v>44950</v>
      </c>
      <c r="B365" s="479" t="s">
        <v>4110</v>
      </c>
      <c r="C365" s="480" t="s">
        <v>4203</v>
      </c>
      <c r="D365" s="485" t="s">
        <v>4124</v>
      </c>
      <c r="E365" s="477" t="s">
        <v>18</v>
      </c>
      <c r="F365" s="485" t="s">
        <v>4106</v>
      </c>
      <c r="G365" s="485" t="s">
        <v>1445</v>
      </c>
      <c r="H365" s="470">
        <v>14999.99</v>
      </c>
    </row>
    <row r="366" spans="1:8" ht="75" x14ac:dyDescent="0.25">
      <c r="A366" s="435">
        <v>44950</v>
      </c>
      <c r="B366" s="479" t="s">
        <v>4110</v>
      </c>
      <c r="C366" s="480" t="s">
        <v>4204</v>
      </c>
      <c r="D366" s="485" t="s">
        <v>4124</v>
      </c>
      <c r="E366" s="477" t="s">
        <v>18</v>
      </c>
      <c r="F366" s="485" t="s">
        <v>4106</v>
      </c>
      <c r="G366" s="485" t="s">
        <v>1445</v>
      </c>
      <c r="H366" s="470">
        <v>14999.99</v>
      </c>
    </row>
    <row r="367" spans="1:8" ht="60" x14ac:dyDescent="0.25">
      <c r="A367" s="435">
        <v>44950</v>
      </c>
      <c r="B367" s="479" t="s">
        <v>4110</v>
      </c>
      <c r="C367" s="480" t="s">
        <v>4205</v>
      </c>
      <c r="D367" s="485" t="s">
        <v>4124</v>
      </c>
      <c r="E367" s="477" t="s">
        <v>18</v>
      </c>
      <c r="F367" s="485" t="s">
        <v>4101</v>
      </c>
      <c r="G367" s="485" t="s">
        <v>1445</v>
      </c>
      <c r="H367" s="470">
        <v>14999.99</v>
      </c>
    </row>
    <row r="368" spans="1:8" ht="60" x14ac:dyDescent="0.25">
      <c r="A368" s="435">
        <v>44950</v>
      </c>
      <c r="B368" s="479" t="s">
        <v>4110</v>
      </c>
      <c r="C368" s="480" t="s">
        <v>4206</v>
      </c>
      <c r="D368" s="485" t="s">
        <v>4124</v>
      </c>
      <c r="E368" s="477" t="s">
        <v>18</v>
      </c>
      <c r="F368" s="485" t="s">
        <v>4101</v>
      </c>
      <c r="G368" s="485" t="s">
        <v>1445</v>
      </c>
      <c r="H368" s="470">
        <v>14999.99</v>
      </c>
    </row>
    <row r="369" spans="1:8" ht="60" x14ac:dyDescent="0.25">
      <c r="A369" s="435">
        <v>44950</v>
      </c>
      <c r="B369" s="479" t="s">
        <v>4110</v>
      </c>
      <c r="C369" s="480" t="s">
        <v>4207</v>
      </c>
      <c r="D369" s="485" t="s">
        <v>4124</v>
      </c>
      <c r="E369" s="477" t="s">
        <v>18</v>
      </c>
      <c r="F369" s="485" t="s">
        <v>4107</v>
      </c>
      <c r="G369" s="485" t="s">
        <v>1445</v>
      </c>
      <c r="H369" s="470">
        <v>14999.99</v>
      </c>
    </row>
    <row r="370" spans="1:8" ht="60" x14ac:dyDescent="0.25">
      <c r="A370" s="435">
        <v>44950</v>
      </c>
      <c r="B370" s="479" t="s">
        <v>4110</v>
      </c>
      <c r="C370" s="480" t="s">
        <v>4208</v>
      </c>
      <c r="D370" s="485" t="s">
        <v>4124</v>
      </c>
      <c r="E370" s="477" t="s">
        <v>18</v>
      </c>
      <c r="F370" s="485" t="s">
        <v>4107</v>
      </c>
      <c r="G370" s="485" t="s">
        <v>1445</v>
      </c>
      <c r="H370" s="470">
        <v>14999.99</v>
      </c>
    </row>
    <row r="371" spans="1:8" ht="60" x14ac:dyDescent="0.25">
      <c r="A371" s="435">
        <v>44950</v>
      </c>
      <c r="B371" s="479" t="s">
        <v>4110</v>
      </c>
      <c r="C371" s="480" t="s">
        <v>4209</v>
      </c>
      <c r="D371" s="485" t="s">
        <v>4124</v>
      </c>
      <c r="E371" s="477" t="s">
        <v>18</v>
      </c>
      <c r="F371" s="485" t="s">
        <v>4107</v>
      </c>
      <c r="G371" s="485" t="s">
        <v>1445</v>
      </c>
      <c r="H371" s="470">
        <v>14999.99</v>
      </c>
    </row>
    <row r="372" spans="1:8" ht="45" x14ac:dyDescent="0.25">
      <c r="A372" s="435">
        <v>44950</v>
      </c>
      <c r="B372" s="479" t="s">
        <v>4110</v>
      </c>
      <c r="C372" s="480" t="s">
        <v>4210</v>
      </c>
      <c r="D372" s="485" t="s">
        <v>4124</v>
      </c>
      <c r="E372" s="477" t="s">
        <v>18</v>
      </c>
      <c r="F372" s="485" t="s">
        <v>4102</v>
      </c>
      <c r="G372" s="491" t="s">
        <v>4105</v>
      </c>
      <c r="H372" s="470">
        <v>14999.99</v>
      </c>
    </row>
    <row r="373" spans="1:8" ht="45" x14ac:dyDescent="0.25">
      <c r="A373" s="435">
        <v>44950</v>
      </c>
      <c r="B373" s="479" t="s">
        <v>4110</v>
      </c>
      <c r="C373" s="480" t="s">
        <v>4211</v>
      </c>
      <c r="D373" s="485" t="s">
        <v>4124</v>
      </c>
      <c r="E373" s="477" t="s">
        <v>18</v>
      </c>
      <c r="F373" s="485" t="s">
        <v>4102</v>
      </c>
      <c r="G373" s="491" t="s">
        <v>4105</v>
      </c>
      <c r="H373" s="470">
        <v>14999.99</v>
      </c>
    </row>
    <row r="374" spans="1:8" ht="45" x14ac:dyDescent="0.25">
      <c r="A374" s="435">
        <v>44950</v>
      </c>
      <c r="B374" s="479" t="s">
        <v>4110</v>
      </c>
      <c r="C374" s="480" t="s">
        <v>4212</v>
      </c>
      <c r="D374" s="485" t="s">
        <v>4124</v>
      </c>
      <c r="E374" s="477" t="s">
        <v>18</v>
      </c>
      <c r="F374" s="485" t="s">
        <v>4102</v>
      </c>
      <c r="G374" s="491" t="s">
        <v>4105</v>
      </c>
      <c r="H374" s="470">
        <v>14999.99</v>
      </c>
    </row>
    <row r="375" spans="1:8" ht="60" x14ac:dyDescent="0.25">
      <c r="A375" s="435">
        <v>44950</v>
      </c>
      <c r="B375" s="479" t="s">
        <v>4110</v>
      </c>
      <c r="C375" s="480" t="s">
        <v>4213</v>
      </c>
      <c r="D375" s="485" t="s">
        <v>4124</v>
      </c>
      <c r="E375" s="477" t="s">
        <v>18</v>
      </c>
      <c r="F375" s="485" t="s">
        <v>4104</v>
      </c>
      <c r="G375" s="491" t="s">
        <v>4105</v>
      </c>
      <c r="H375" s="470">
        <v>14999.99</v>
      </c>
    </row>
    <row r="376" spans="1:8" ht="60" x14ac:dyDescent="0.25">
      <c r="A376" s="435">
        <v>44950</v>
      </c>
      <c r="B376" s="479" t="s">
        <v>4110</v>
      </c>
      <c r="C376" s="480" t="s">
        <v>4214</v>
      </c>
      <c r="D376" s="485" t="s">
        <v>4124</v>
      </c>
      <c r="E376" s="477" t="s">
        <v>18</v>
      </c>
      <c r="F376" s="485" t="s">
        <v>4104</v>
      </c>
      <c r="G376" s="491" t="s">
        <v>4105</v>
      </c>
      <c r="H376" s="470">
        <v>14999.99</v>
      </c>
    </row>
    <row r="377" spans="1:8" ht="75" x14ac:dyDescent="0.25">
      <c r="A377" s="435">
        <v>44950</v>
      </c>
      <c r="B377" s="479" t="s">
        <v>4110</v>
      </c>
      <c r="C377" s="480" t="s">
        <v>4215</v>
      </c>
      <c r="D377" s="485" t="s">
        <v>4125</v>
      </c>
      <c r="E377" s="477" t="s">
        <v>18</v>
      </c>
      <c r="F377" s="485" t="s">
        <v>4106</v>
      </c>
      <c r="G377" s="485" t="s">
        <v>1445</v>
      </c>
      <c r="H377" s="470">
        <v>36499.99</v>
      </c>
    </row>
    <row r="378" spans="1:8" ht="75" x14ac:dyDescent="0.25">
      <c r="A378" s="435">
        <v>44950</v>
      </c>
      <c r="B378" s="479" t="s">
        <v>4110</v>
      </c>
      <c r="C378" s="480" t="s">
        <v>4216</v>
      </c>
      <c r="D378" s="485" t="s">
        <v>4125</v>
      </c>
      <c r="E378" s="477" t="s">
        <v>18</v>
      </c>
      <c r="F378" s="485" t="s">
        <v>4106</v>
      </c>
      <c r="G378" s="485" t="s">
        <v>1445</v>
      </c>
      <c r="H378" s="470">
        <v>36499.99</v>
      </c>
    </row>
    <row r="379" spans="1:8" ht="60" x14ac:dyDescent="0.25">
      <c r="A379" s="435">
        <v>44950</v>
      </c>
      <c r="B379" s="479" t="s">
        <v>4110</v>
      </c>
      <c r="C379" s="480" t="s">
        <v>4217</v>
      </c>
      <c r="D379" s="485" t="s">
        <v>4125</v>
      </c>
      <c r="E379" s="477" t="s">
        <v>18</v>
      </c>
      <c r="F379" s="485" t="s">
        <v>4101</v>
      </c>
      <c r="G379" s="485" t="s">
        <v>1445</v>
      </c>
      <c r="H379" s="470">
        <v>36499.99</v>
      </c>
    </row>
    <row r="380" spans="1:8" ht="60" x14ac:dyDescent="0.25">
      <c r="A380" s="435">
        <v>44950</v>
      </c>
      <c r="B380" s="479" t="s">
        <v>4110</v>
      </c>
      <c r="C380" s="480" t="s">
        <v>4218</v>
      </c>
      <c r="D380" s="485" t="s">
        <v>4125</v>
      </c>
      <c r="E380" s="477" t="s">
        <v>18</v>
      </c>
      <c r="F380" s="485" t="s">
        <v>4107</v>
      </c>
      <c r="G380" s="485" t="s">
        <v>1445</v>
      </c>
      <c r="H380" s="470">
        <v>36499.99</v>
      </c>
    </row>
    <row r="381" spans="1:8" ht="60" x14ac:dyDescent="0.25">
      <c r="A381" s="435">
        <v>44950</v>
      </c>
      <c r="B381" s="479" t="s">
        <v>4110</v>
      </c>
      <c r="C381" s="480" t="s">
        <v>4219</v>
      </c>
      <c r="D381" s="485" t="s">
        <v>4125</v>
      </c>
      <c r="E381" s="477" t="s">
        <v>18</v>
      </c>
      <c r="F381" s="485" t="s">
        <v>4107</v>
      </c>
      <c r="G381" s="485" t="s">
        <v>1445</v>
      </c>
      <c r="H381" s="470">
        <v>36499.99</v>
      </c>
    </row>
    <row r="382" spans="1:8" ht="60" x14ac:dyDescent="0.25">
      <c r="A382" s="435">
        <v>44950</v>
      </c>
      <c r="B382" s="479" t="s">
        <v>4110</v>
      </c>
      <c r="C382" s="480" t="s">
        <v>4220</v>
      </c>
      <c r="D382" s="485" t="s">
        <v>4125</v>
      </c>
      <c r="E382" s="477" t="s">
        <v>18</v>
      </c>
      <c r="F382" s="485" t="s">
        <v>4107</v>
      </c>
      <c r="G382" s="485" t="s">
        <v>1445</v>
      </c>
      <c r="H382" s="470">
        <v>36499.99</v>
      </c>
    </row>
    <row r="383" spans="1:8" ht="60" x14ac:dyDescent="0.25">
      <c r="A383" s="435">
        <v>44950</v>
      </c>
      <c r="B383" s="479" t="s">
        <v>4110</v>
      </c>
      <c r="C383" s="480" t="s">
        <v>4221</v>
      </c>
      <c r="D383" s="485" t="s">
        <v>4125</v>
      </c>
      <c r="E383" s="477" t="s">
        <v>18</v>
      </c>
      <c r="F383" s="485" t="s">
        <v>4107</v>
      </c>
      <c r="G383" s="485" t="s">
        <v>1445</v>
      </c>
      <c r="H383" s="470">
        <v>36499.99</v>
      </c>
    </row>
    <row r="384" spans="1:8" ht="60" x14ac:dyDescent="0.25">
      <c r="A384" s="435">
        <v>44950</v>
      </c>
      <c r="B384" s="479" t="s">
        <v>4110</v>
      </c>
      <c r="C384" s="480" t="s">
        <v>4222</v>
      </c>
      <c r="D384" s="485" t="s">
        <v>4125</v>
      </c>
      <c r="E384" s="477" t="s">
        <v>18</v>
      </c>
      <c r="F384" s="485" t="s">
        <v>4107</v>
      </c>
      <c r="G384" s="485" t="s">
        <v>1445</v>
      </c>
      <c r="H384" s="470">
        <v>36499.99</v>
      </c>
    </row>
    <row r="385" spans="1:8" ht="60" x14ac:dyDescent="0.25">
      <c r="A385" s="435">
        <v>44950</v>
      </c>
      <c r="B385" s="479" t="s">
        <v>4110</v>
      </c>
      <c r="C385" s="480" t="s">
        <v>4223</v>
      </c>
      <c r="D385" s="485" t="s">
        <v>4125</v>
      </c>
      <c r="E385" s="477" t="s">
        <v>18</v>
      </c>
      <c r="F385" s="485" t="s">
        <v>4107</v>
      </c>
      <c r="G385" s="485" t="s">
        <v>1445</v>
      </c>
      <c r="H385" s="470">
        <v>36499.99</v>
      </c>
    </row>
    <row r="386" spans="1:8" ht="60" x14ac:dyDescent="0.25">
      <c r="A386" s="435">
        <v>44950</v>
      </c>
      <c r="B386" s="479" t="s">
        <v>4110</v>
      </c>
      <c r="C386" s="480" t="s">
        <v>4224</v>
      </c>
      <c r="D386" s="485" t="s">
        <v>4125</v>
      </c>
      <c r="E386" s="477" t="s">
        <v>18</v>
      </c>
      <c r="F386" s="485" t="s">
        <v>4107</v>
      </c>
      <c r="G386" s="485" t="s">
        <v>1445</v>
      </c>
      <c r="H386" s="470">
        <v>36499.99</v>
      </c>
    </row>
    <row r="387" spans="1:8" ht="60" x14ac:dyDescent="0.25">
      <c r="A387" s="435">
        <v>44950</v>
      </c>
      <c r="B387" s="479" t="s">
        <v>4110</v>
      </c>
      <c r="C387" s="480" t="s">
        <v>4225</v>
      </c>
      <c r="D387" s="485" t="s">
        <v>4125</v>
      </c>
      <c r="E387" s="477" t="s">
        <v>18</v>
      </c>
      <c r="F387" s="485" t="s">
        <v>4107</v>
      </c>
      <c r="G387" s="485" t="s">
        <v>1445</v>
      </c>
      <c r="H387" s="470">
        <v>36499.99</v>
      </c>
    </row>
    <row r="388" spans="1:8" ht="60" x14ac:dyDescent="0.25">
      <c r="A388" s="435">
        <v>44950</v>
      </c>
      <c r="B388" s="479" t="s">
        <v>4110</v>
      </c>
      <c r="C388" s="480" t="s">
        <v>4226</v>
      </c>
      <c r="D388" s="485" t="s">
        <v>4125</v>
      </c>
      <c r="E388" s="477" t="s">
        <v>18</v>
      </c>
      <c r="F388" s="485" t="s">
        <v>4107</v>
      </c>
      <c r="G388" s="485" t="s">
        <v>1445</v>
      </c>
      <c r="H388" s="470">
        <v>36499.99</v>
      </c>
    </row>
    <row r="389" spans="1:8" ht="60" x14ac:dyDescent="0.25">
      <c r="A389" s="435">
        <v>44950</v>
      </c>
      <c r="B389" s="479" t="s">
        <v>4110</v>
      </c>
      <c r="C389" s="480" t="s">
        <v>4227</v>
      </c>
      <c r="D389" s="485" t="s">
        <v>4125</v>
      </c>
      <c r="E389" s="477" t="s">
        <v>18</v>
      </c>
      <c r="F389" s="485" t="s">
        <v>4107</v>
      </c>
      <c r="G389" s="485" t="s">
        <v>1445</v>
      </c>
      <c r="H389" s="470">
        <v>36499.99</v>
      </c>
    </row>
    <row r="390" spans="1:8" ht="60" x14ac:dyDescent="0.25">
      <c r="A390" s="435">
        <v>44950</v>
      </c>
      <c r="B390" s="479" t="s">
        <v>4110</v>
      </c>
      <c r="C390" s="480" t="s">
        <v>4228</v>
      </c>
      <c r="D390" s="485" t="s">
        <v>4125</v>
      </c>
      <c r="E390" s="477" t="s">
        <v>18</v>
      </c>
      <c r="F390" s="485" t="s">
        <v>4107</v>
      </c>
      <c r="G390" s="485" t="s">
        <v>1445</v>
      </c>
      <c r="H390" s="470">
        <v>36499.99</v>
      </c>
    </row>
    <row r="391" spans="1:8" ht="60" x14ac:dyDescent="0.25">
      <c r="A391" s="435">
        <v>44950</v>
      </c>
      <c r="B391" s="479" t="s">
        <v>4110</v>
      </c>
      <c r="C391" s="480" t="s">
        <v>4229</v>
      </c>
      <c r="D391" s="485" t="s">
        <v>4125</v>
      </c>
      <c r="E391" s="477" t="s">
        <v>18</v>
      </c>
      <c r="F391" s="485" t="s">
        <v>4107</v>
      </c>
      <c r="G391" s="485" t="s">
        <v>1445</v>
      </c>
      <c r="H391" s="470">
        <v>36499.99</v>
      </c>
    </row>
    <row r="392" spans="1:8" ht="75" x14ac:dyDescent="0.25">
      <c r="A392" s="435">
        <v>44950</v>
      </c>
      <c r="B392" s="479" t="s">
        <v>4110</v>
      </c>
      <c r="C392" s="480" t="s">
        <v>4230</v>
      </c>
      <c r="D392" s="485" t="s">
        <v>4125</v>
      </c>
      <c r="E392" s="477" t="s">
        <v>18</v>
      </c>
      <c r="F392" s="485" t="s">
        <v>4103</v>
      </c>
      <c r="G392" s="491" t="s">
        <v>4105</v>
      </c>
      <c r="H392" s="470">
        <v>36499.99</v>
      </c>
    </row>
    <row r="393" spans="1:8" ht="75" x14ac:dyDescent="0.25">
      <c r="A393" s="435">
        <v>44950</v>
      </c>
      <c r="B393" s="479" t="s">
        <v>4110</v>
      </c>
      <c r="C393" s="480" t="s">
        <v>4231</v>
      </c>
      <c r="D393" s="485" t="s">
        <v>4125</v>
      </c>
      <c r="E393" s="477" t="s">
        <v>18</v>
      </c>
      <c r="F393" s="485" t="s">
        <v>4103</v>
      </c>
      <c r="G393" s="491" t="s">
        <v>4105</v>
      </c>
      <c r="H393" s="470">
        <v>36499.99</v>
      </c>
    </row>
    <row r="394" spans="1:8" ht="60" x14ac:dyDescent="0.25">
      <c r="A394" s="435">
        <v>44950</v>
      </c>
      <c r="B394" s="479" t="s">
        <v>4110</v>
      </c>
      <c r="C394" s="480" t="s">
        <v>4232</v>
      </c>
      <c r="D394" s="485" t="s">
        <v>4125</v>
      </c>
      <c r="E394" s="477" t="s">
        <v>18</v>
      </c>
      <c r="F394" s="485" t="s">
        <v>4104</v>
      </c>
      <c r="G394" s="485" t="s">
        <v>1445</v>
      </c>
      <c r="H394" s="470">
        <v>36499.99</v>
      </c>
    </row>
    <row r="395" spans="1:8" ht="60" x14ac:dyDescent="0.25">
      <c r="A395" s="435">
        <v>44950</v>
      </c>
      <c r="B395" s="479" t="s">
        <v>4110</v>
      </c>
      <c r="C395" s="480" t="s">
        <v>4233</v>
      </c>
      <c r="D395" s="485" t="s">
        <v>4125</v>
      </c>
      <c r="E395" s="477" t="s">
        <v>18</v>
      </c>
      <c r="F395" s="485" t="s">
        <v>4104</v>
      </c>
      <c r="G395" s="485" t="s">
        <v>1445</v>
      </c>
      <c r="H395" s="470">
        <v>36499.99</v>
      </c>
    </row>
    <row r="396" spans="1:8" ht="60" x14ac:dyDescent="0.25">
      <c r="A396" s="435">
        <v>44950</v>
      </c>
      <c r="B396" s="479" t="s">
        <v>4110</v>
      </c>
      <c r="C396" s="480" t="s">
        <v>4234</v>
      </c>
      <c r="D396" s="485" t="s">
        <v>4126</v>
      </c>
      <c r="E396" s="477" t="s">
        <v>18</v>
      </c>
      <c r="F396" s="485" t="s">
        <v>4107</v>
      </c>
      <c r="G396" s="485" t="s">
        <v>1445</v>
      </c>
      <c r="H396" s="470">
        <v>72500</v>
      </c>
    </row>
    <row r="397" spans="1:8" ht="75" x14ac:dyDescent="0.25">
      <c r="A397" s="435">
        <v>44950</v>
      </c>
      <c r="B397" s="479" t="s">
        <v>4110</v>
      </c>
      <c r="C397" s="480" t="s">
        <v>4235</v>
      </c>
      <c r="D397" s="485" t="s">
        <v>4126</v>
      </c>
      <c r="E397" s="477" t="s">
        <v>18</v>
      </c>
      <c r="F397" s="485" t="s">
        <v>4103</v>
      </c>
      <c r="G397" s="491" t="s">
        <v>4105</v>
      </c>
      <c r="H397" s="470">
        <v>72500</v>
      </c>
    </row>
    <row r="398" spans="1:8" ht="60" x14ac:dyDescent="0.25">
      <c r="A398" s="435">
        <v>44950</v>
      </c>
      <c r="B398" s="479" t="s">
        <v>4110</v>
      </c>
      <c r="C398" s="480" t="s">
        <v>4236</v>
      </c>
      <c r="D398" s="485" t="s">
        <v>4126</v>
      </c>
      <c r="E398" s="477" t="s">
        <v>18</v>
      </c>
      <c r="F398" s="483" t="s">
        <v>4104</v>
      </c>
      <c r="G398" s="485" t="s">
        <v>1445</v>
      </c>
      <c r="H398" s="470">
        <v>72500</v>
      </c>
    </row>
    <row r="399" spans="1:8" ht="60" x14ac:dyDescent="0.25">
      <c r="A399" s="435">
        <v>44950</v>
      </c>
      <c r="B399" s="479" t="s">
        <v>4110</v>
      </c>
      <c r="C399" s="480" t="s">
        <v>4237</v>
      </c>
      <c r="D399" s="485" t="s">
        <v>4127</v>
      </c>
      <c r="E399" s="477" t="s">
        <v>18</v>
      </c>
      <c r="F399" s="485" t="s">
        <v>4107</v>
      </c>
      <c r="G399" s="485" t="s">
        <v>1445</v>
      </c>
      <c r="H399" s="470">
        <v>98000.18</v>
      </c>
    </row>
    <row r="400" spans="1:8" ht="75" x14ac:dyDescent="0.25">
      <c r="A400" s="435">
        <v>44950</v>
      </c>
      <c r="B400" s="479" t="s">
        <v>4110</v>
      </c>
      <c r="C400" s="480" t="s">
        <v>4239</v>
      </c>
      <c r="D400" s="485" t="s">
        <v>4127</v>
      </c>
      <c r="E400" s="477" t="s">
        <v>18</v>
      </c>
      <c r="F400" s="485" t="s">
        <v>4103</v>
      </c>
      <c r="G400" s="491" t="s">
        <v>4105</v>
      </c>
      <c r="H400" s="470">
        <v>98000.19</v>
      </c>
    </row>
    <row r="401" spans="1:8" ht="60" x14ac:dyDescent="0.25">
      <c r="A401" s="476">
        <v>44963</v>
      </c>
      <c r="B401" s="439" t="s">
        <v>4240</v>
      </c>
      <c r="C401" s="439" t="s">
        <v>4241</v>
      </c>
      <c r="D401" s="485" t="s">
        <v>4246</v>
      </c>
      <c r="E401" s="482" t="s">
        <v>4247</v>
      </c>
      <c r="F401" s="485" t="s">
        <v>4252</v>
      </c>
      <c r="G401" s="483" t="s">
        <v>19</v>
      </c>
      <c r="H401" s="470">
        <v>1595943</v>
      </c>
    </row>
    <row r="402" spans="1:8" ht="60" x14ac:dyDescent="0.25">
      <c r="A402" s="476">
        <v>44963</v>
      </c>
      <c r="B402" s="439" t="s">
        <v>4240</v>
      </c>
      <c r="C402" s="439" t="s">
        <v>4242</v>
      </c>
      <c r="D402" s="485" t="s">
        <v>4246</v>
      </c>
      <c r="E402" s="482" t="s">
        <v>4248</v>
      </c>
      <c r="F402" s="485" t="s">
        <v>4252</v>
      </c>
      <c r="G402" s="483" t="s">
        <v>19</v>
      </c>
      <c r="H402" s="470">
        <v>1595943</v>
      </c>
    </row>
    <row r="403" spans="1:8" ht="60" x14ac:dyDescent="0.25">
      <c r="A403" s="476">
        <v>44963</v>
      </c>
      <c r="B403" s="439" t="s">
        <v>4240</v>
      </c>
      <c r="C403" s="439" t="s">
        <v>4243</v>
      </c>
      <c r="D403" s="485" t="s">
        <v>4246</v>
      </c>
      <c r="E403" s="482" t="s">
        <v>4249</v>
      </c>
      <c r="F403" s="485" t="s">
        <v>4252</v>
      </c>
      <c r="G403" s="483" t="s">
        <v>19</v>
      </c>
      <c r="H403" s="470">
        <v>1595943</v>
      </c>
    </row>
    <row r="404" spans="1:8" ht="60" x14ac:dyDescent="0.25">
      <c r="A404" s="476">
        <v>44963</v>
      </c>
      <c r="B404" s="439" t="s">
        <v>4240</v>
      </c>
      <c r="C404" s="439" t="s">
        <v>4244</v>
      </c>
      <c r="D404" s="485" t="s">
        <v>4246</v>
      </c>
      <c r="E404" s="482" t="s">
        <v>4250</v>
      </c>
      <c r="F404" s="485" t="s">
        <v>4252</v>
      </c>
      <c r="G404" s="483" t="s">
        <v>19</v>
      </c>
      <c r="H404" s="470">
        <v>1595943</v>
      </c>
    </row>
    <row r="405" spans="1:8" ht="60" x14ac:dyDescent="0.25">
      <c r="A405" s="476">
        <v>44963</v>
      </c>
      <c r="B405" s="439" t="s">
        <v>4240</v>
      </c>
      <c r="C405" s="439" t="s">
        <v>4245</v>
      </c>
      <c r="D405" s="485" t="s">
        <v>4246</v>
      </c>
      <c r="E405" s="482" t="s">
        <v>4251</v>
      </c>
      <c r="F405" s="485" t="s">
        <v>4252</v>
      </c>
      <c r="G405" s="483" t="s">
        <v>19</v>
      </c>
      <c r="H405" s="470">
        <v>1595942.99</v>
      </c>
    </row>
  </sheetData>
  <pageMargins left="0.7" right="0.7" top="0.75" bottom="0.75" header="0.3" footer="0.3"/>
  <pageSetup paperSize="9" scale="7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15</vt:i4>
      </vt:variant>
    </vt:vector>
  </HeadingPairs>
  <TitlesOfParts>
    <vt:vector size="22" baseType="lpstr">
      <vt:lpstr>FONDO MUNDIAL</vt:lpstr>
      <vt:lpstr>PROYECTO - CDC</vt:lpstr>
      <vt:lpstr>SUBVENCION</vt:lpstr>
      <vt:lpstr>DONACION</vt:lpstr>
      <vt:lpstr>CONTRAPARTIDA</vt:lpstr>
      <vt:lpstr>COVID</vt:lpstr>
      <vt:lpstr>Hoja2</vt:lpstr>
      <vt:lpstr>CONTRAPARTIDA!Área_de_impresión</vt:lpstr>
      <vt:lpstr>COVID!Área_de_impresión</vt:lpstr>
      <vt:lpstr>DONACION!Área_de_impresión</vt:lpstr>
      <vt:lpstr>'FONDO MUNDIAL'!Área_de_impresión</vt:lpstr>
      <vt:lpstr>'PROYECTO - CDC'!Área_de_impresión</vt:lpstr>
      <vt:lpstr>CONTRAPARTIDA!Print_Area</vt:lpstr>
      <vt:lpstr>DONACION!Print_Area</vt:lpstr>
      <vt:lpstr>'FONDO MUNDIAL'!Print_Area</vt:lpstr>
      <vt:lpstr>'PROYECTO - CDC'!Print_Area</vt:lpstr>
      <vt:lpstr>SUBVENCION!Print_Area</vt:lpstr>
      <vt:lpstr>CONTRAPARTIDA!Print_Titles</vt:lpstr>
      <vt:lpstr>DONACION!Print_Titles</vt:lpstr>
      <vt:lpstr>'FONDO MUNDIAL'!Print_Titles</vt:lpstr>
      <vt:lpstr>'PROYECTO - CDC'!Print_Titles</vt:lpstr>
      <vt:lpstr>SUBVENCION!Print_Titles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 1501</dc:creator>
  <cp:lastModifiedBy>Wanda Yanet Medina García</cp:lastModifiedBy>
  <cp:lastPrinted>2024-01-10T18:02:34Z</cp:lastPrinted>
  <dcterms:created xsi:type="dcterms:W3CDTF">2007-02-21T19:42:44Z</dcterms:created>
  <dcterms:modified xsi:type="dcterms:W3CDTF">2024-01-10T18:15:40Z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848B2FF0A51542CC83214A6DA4319EFE</vt:lpwstr>
  </property>
  <property fmtid="{D5CDD505-2E9C-101B-9397-08002B2CF9AE}" pid="3" name="KSOProductBuildVer">
    <vt:lpwstr>3082-11.2.0.11513</vt:lpwstr>
  </property>
</Properties>
</file>