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225" windowWidth="14940" windowHeight="8385" activeTab="0"/>
  </bookViews>
  <sheets>
    <sheet name="FONDO MUNDIAL" sheetId="1" r:id="rId1"/>
    <sheet name="PROYECTO - CDC" sheetId="2" r:id="rId2"/>
    <sheet name="SUBVENCION" sheetId="3" r:id="rId3"/>
    <sheet name="DONACION" sheetId="4" r:id="rId4"/>
    <sheet name="CONTRAPARTIDA" sheetId="5" r:id="rId5"/>
  </sheets>
  <definedNames>
    <definedName name="_xlnm.Print_Area" localSheetId="4">'CONTRAPARTIDA'!$B$2:$P$560</definedName>
    <definedName name="_xlnm.Print_Area" localSheetId="3">'DONACION'!$B$1:$P$89</definedName>
    <definedName name="_xlnm.Print_Area" localSheetId="0">'FONDO MUNDIAL'!$A$1:$P$1148</definedName>
    <definedName name="_xlnm.Print_Area" localSheetId="1">'PROYECTO - CDC'!$B$1:$P$143</definedName>
    <definedName name="_xlnm.Print_Area" localSheetId="2">'SUBVENCION'!$B$1:$P$68</definedName>
    <definedName name="_xlnm.Print_Titles" localSheetId="4">'CONTRAPARTIDA'!$2:$6</definedName>
    <definedName name="_xlnm.Print_Titles" localSheetId="3">'DONACION'!$1:$5</definedName>
    <definedName name="_xlnm.Print_Titles" localSheetId="0">'FONDO MUNDIAL'!$2:$7</definedName>
    <definedName name="_xlnm.Print_Titles" localSheetId="1">'PROYECTO - CDC'!$1:$5</definedName>
    <definedName name="_xlnm.Print_Titles" localSheetId="2">'SUBVENCION'!$1:$5</definedName>
  </definedNames>
  <calcPr fullCalcOnLoad="1"/>
</workbook>
</file>

<file path=xl/sharedStrings.xml><?xml version="1.0" encoding="utf-8"?>
<sst xmlns="http://schemas.openxmlformats.org/spreadsheetml/2006/main" count="12977" uniqueCount="3994">
  <si>
    <t xml:space="preserve">Proyector Multimedia Epson PowerLite 78C  </t>
  </si>
  <si>
    <t xml:space="preserve">L5YF891835L      </t>
  </si>
  <si>
    <t>Laptop Dell Latitude E6500</t>
  </si>
  <si>
    <t xml:space="preserve">JF30LH1    </t>
  </si>
  <si>
    <t>Ck. 9905</t>
  </si>
  <si>
    <t xml:space="preserve">Negatoscopio de 1 Cuerpo  </t>
  </si>
  <si>
    <t>HOSPILAB, S.A.</t>
  </si>
  <si>
    <t xml:space="preserve">Bebedero de Botellon Avanti    </t>
  </si>
  <si>
    <t xml:space="preserve">Base Aerea para TV de 14 a 24"     </t>
  </si>
  <si>
    <t xml:space="preserve">Archivo Metalico de 4 Gavetas  </t>
  </si>
  <si>
    <t xml:space="preserve">Librero Tipo Credenza con Puertas Bajas </t>
  </si>
  <si>
    <t>Ck. 9902</t>
  </si>
  <si>
    <t xml:space="preserve">Escabel de 1 Paso / Banquito de Pies      </t>
  </si>
  <si>
    <t>HOSP. MUN. CASTAÑUELA / MONTECRISTI</t>
  </si>
  <si>
    <t>HOSP. MUN. DE TENARES</t>
  </si>
  <si>
    <t>HOSP. MUN. DE NIZAO / BANI</t>
  </si>
  <si>
    <t>HOSP. MUN. DE PERALTA / AZUA</t>
  </si>
  <si>
    <t>HOSP. MUN. DE VILLA ALTAGRACIA</t>
  </si>
  <si>
    <t>HOSP. MUN. DE VILLA FUNDACION / BANI</t>
  </si>
  <si>
    <t>HOSP. MUN. EL FACTOR / NAGUA</t>
  </si>
  <si>
    <t>HOSP. MUN. ENRIQUILLO / BARAHONA</t>
  </si>
  <si>
    <t>HOSP. ROSA DUARTE / ELIAS PIÑA</t>
  </si>
  <si>
    <t>HOSP. LUIS BOGAERT / VALVERDE MAO</t>
  </si>
  <si>
    <t>HOSP. DARIO CONTRERAS</t>
  </si>
  <si>
    <t>HOSP. INFANTIL ARTURO GRULLON / SANTIAGO</t>
  </si>
  <si>
    <t>INST. DERMATOLOGICO Y CIR. DE PIEL</t>
  </si>
  <si>
    <t>INST. DOM. DE DES. INTEGRAL / IDDI</t>
  </si>
  <si>
    <t>INST. DOM. DE ESTUDIO VIROLOGICO</t>
  </si>
  <si>
    <t>DESPACHO DE LA PRIMERA DAMA</t>
  </si>
  <si>
    <t>Ck. 230</t>
  </si>
  <si>
    <t>NF40PW1GTA</t>
  </si>
  <si>
    <t>ALMACENES IBERIAS</t>
  </si>
  <si>
    <t>FERRETERIA AMERICANA</t>
  </si>
  <si>
    <t>Ck. 4316</t>
  </si>
  <si>
    <t xml:space="preserve">Archivo Metalico de 2 Gavetas </t>
  </si>
  <si>
    <t>Silla de Visita en Tela Negra</t>
  </si>
  <si>
    <t xml:space="preserve">Silla para Visita en Tela y Color Negra      </t>
  </si>
  <si>
    <t xml:space="preserve">Escritorio en Melamina de 28 x 48    </t>
  </si>
  <si>
    <t>Ck. 8577</t>
  </si>
  <si>
    <t>RESUMEN</t>
  </si>
  <si>
    <t>Costo de Adq.  En RD$</t>
  </si>
  <si>
    <t>Costo de Adq.  En US$</t>
  </si>
  <si>
    <t>S/N</t>
  </si>
  <si>
    <t>Fecha</t>
  </si>
  <si>
    <t>Descripción</t>
  </si>
  <si>
    <t>No. de Serie</t>
  </si>
  <si>
    <t>SUMIOF</t>
  </si>
  <si>
    <t xml:space="preserve">Bebedero de Botellon American </t>
  </si>
  <si>
    <t>Mod. BE-55</t>
  </si>
  <si>
    <t xml:space="preserve">Pantalla Electrica de Proyección </t>
  </si>
  <si>
    <t>Direccion Ejecutiva</t>
  </si>
  <si>
    <t xml:space="preserve">Banqueta de 4 Personas   </t>
  </si>
  <si>
    <t>Ck 9373</t>
  </si>
  <si>
    <t>Radiocentro, C. por A.</t>
  </si>
  <si>
    <t>Costo Adquisición</t>
  </si>
  <si>
    <t>Tasa</t>
  </si>
  <si>
    <t>Equivalente  Dolares</t>
  </si>
  <si>
    <t>Vida Util</t>
  </si>
  <si>
    <t>Valor Depreciación (en meses)</t>
  </si>
  <si>
    <t>Meses Transcurridos</t>
  </si>
  <si>
    <t>Valor en Libro</t>
  </si>
  <si>
    <t>Proveedor</t>
  </si>
  <si>
    <t>UNITEC DOMINICANA</t>
  </si>
  <si>
    <t>N/A</t>
  </si>
  <si>
    <t>DISTOSA</t>
  </si>
  <si>
    <t>Auditado Por:</t>
  </si>
  <si>
    <t>Muñoz Comcepto Mobiliario, S. A</t>
  </si>
  <si>
    <t xml:space="preserve">Archivo Modular de 3 Gavetas    </t>
  </si>
  <si>
    <t>Ck 8790</t>
  </si>
  <si>
    <t>Mesa Redonda en Melamina 28" x 48"</t>
  </si>
  <si>
    <t>Mesa Redonda en Melamina 48"</t>
  </si>
  <si>
    <t>Escritorio en Melamina 28" x 48"</t>
  </si>
  <si>
    <t xml:space="preserve">Televisor de 21" Marca Tecnomaster    </t>
  </si>
  <si>
    <t xml:space="preserve">DVD Video Player Tecnomaster    </t>
  </si>
  <si>
    <t xml:space="preserve">Base Aerea para TV y DVD 21 a 29 "     </t>
  </si>
  <si>
    <t>Ck. 8802</t>
  </si>
  <si>
    <t xml:space="preserve">Escritorio en Melamina 28 x 55    </t>
  </si>
  <si>
    <t xml:space="preserve">Silla para Visita en Tela y Color Negra       </t>
  </si>
  <si>
    <t xml:space="preserve">Sillon Semi-Ejecutivo    </t>
  </si>
  <si>
    <t xml:space="preserve">Archivo Vertical de 4 Gavetas    </t>
  </si>
  <si>
    <t>Ck. 12248</t>
  </si>
  <si>
    <t>Unidad de Tecnología</t>
  </si>
  <si>
    <t>THE POWER PLACE DOMINICANA</t>
  </si>
  <si>
    <t>Ck. 12301</t>
  </si>
  <si>
    <t>Armario Metalico 18 x 36 x 72. Incluye:  2 Puertas y Color Crema</t>
  </si>
  <si>
    <t>ACTUALIDADES VD</t>
  </si>
  <si>
    <t>Ck. 320         SUB-BENEF.</t>
  </si>
  <si>
    <t>Monitor Activo Tipo Bafle con USB 250 WRM</t>
  </si>
  <si>
    <t>PS-15A</t>
  </si>
  <si>
    <t>MUSICAL COMPAÑÍA, S.A.</t>
  </si>
  <si>
    <t>Stand de Bocina</t>
  </si>
  <si>
    <t>LK314-1</t>
  </si>
  <si>
    <t>Ck. 322         SUB-BENEF.</t>
  </si>
  <si>
    <t>AR COMPUTADORAS Y SUMINISTROS, S.A.</t>
  </si>
  <si>
    <t>Proyector Multimedia Sanyo PLV-Z60</t>
  </si>
  <si>
    <t>G8Y04123 MC4-Z6000</t>
  </si>
  <si>
    <t>Pantalla de Proyeccion 86" Puls Klips Extreme</t>
  </si>
  <si>
    <t>KPS-302</t>
  </si>
  <si>
    <t>Ck. 12387</t>
  </si>
  <si>
    <t>Mesa de Reuniones para 8 Personas, 96x36x30 Laminada y Color Haya</t>
  </si>
  <si>
    <t>LEON G, C. X A.</t>
  </si>
  <si>
    <t>Silla de Visita con Brazos y Color Negro</t>
  </si>
  <si>
    <t>Ck. 12395</t>
  </si>
  <si>
    <t>Televisor LCD Sylvania de 32 Pulgadas</t>
  </si>
  <si>
    <t>DS1A1007383791</t>
  </si>
  <si>
    <t>Proyector Epson Power Lite 78C</t>
  </si>
  <si>
    <t>L5YF951686L</t>
  </si>
  <si>
    <t>Ck. 12354</t>
  </si>
  <si>
    <t>Ck. 18</t>
  </si>
  <si>
    <t>HOGAR CREA DOMINICANO, INC.</t>
  </si>
  <si>
    <t>MINISTERIO DE EDUCACION / SEE</t>
  </si>
  <si>
    <t>MINISTERIO DE TRABAJO / UTELAIN</t>
  </si>
  <si>
    <t>Ck. 00041</t>
  </si>
  <si>
    <t>Impresora Multifuncional C4480</t>
  </si>
  <si>
    <t>PROC. GRAL. / DIR. GRAL. DE PRISIONES</t>
  </si>
  <si>
    <t>TECNOLOGY OPORTUNIDADES</t>
  </si>
  <si>
    <t>Ck. 2268</t>
  </si>
  <si>
    <t>Pantalla de Proyeccion Versatil 60 x 60 con Tripode</t>
  </si>
  <si>
    <t>Proyector Multimedia Epson S8  2500 LUMENES</t>
  </si>
  <si>
    <t>M4SF9Z2825L</t>
  </si>
  <si>
    <t>Escabel de 1 Paso</t>
  </si>
  <si>
    <t>Mesa Redonda de 4 Personas</t>
  </si>
  <si>
    <t>ZARB69S500009Y</t>
  </si>
  <si>
    <t>C7CGYH1 / CN-0R034G-64180-92R-5DQM</t>
  </si>
  <si>
    <t>VND3B63148</t>
  </si>
  <si>
    <t>090106-1290842</t>
  </si>
  <si>
    <t>Abanico de Pared, Marca: Wonderfan</t>
  </si>
  <si>
    <t>Bebedero de Botellon Nikkell</t>
  </si>
  <si>
    <t>Analizador de Quimica Clinica, Automatico Discreto, Acceso Selectivo y Prioridad de la Muestra. Mod. BS-200</t>
  </si>
  <si>
    <t>WN85100202</t>
  </si>
  <si>
    <t>Ck. 12753</t>
  </si>
  <si>
    <t xml:space="preserve">4L702B1  / CN-0CC352-64180-630-1MHL   </t>
  </si>
  <si>
    <t xml:space="preserve">Servidor Tipo C DELL 2850 CD/2.8/73GB  </t>
  </si>
  <si>
    <t xml:space="preserve">Servidor Tipo B DELL 2850 X/3.2/4/73GB   </t>
  </si>
  <si>
    <t xml:space="preserve">Computador Tipo B Dell Optiplex GX620   </t>
  </si>
  <si>
    <t>COLECTIVA MUJER Y SALUD</t>
  </si>
  <si>
    <t>Banqueta de 4 Personas</t>
  </si>
  <si>
    <t>HOSP. ALEJANDRO CABRAL / SAN JUAN</t>
  </si>
  <si>
    <t>HOSP. NTRA. SRA. ALTAGRACIA / HIGUEY</t>
  </si>
  <si>
    <t>5K6LPS1 / CN-0N01VP-64180-23A-OUNS</t>
  </si>
  <si>
    <t xml:space="preserve">Esfigmomanómetro Aneriodes de Pared   </t>
  </si>
  <si>
    <t>HOSP. LUIS MORILLO KING / LA VEGA</t>
  </si>
  <si>
    <t>Mesa de Computadora en Melanina Mod. 3995</t>
  </si>
  <si>
    <t>HOSP. RAMON DE LARA / SAN ISIDRO</t>
  </si>
  <si>
    <t>Bancada de 3 plazas, mod. B-301, tubo c/Lum,asiento y resp. Plastico.</t>
  </si>
  <si>
    <t>Mueble de Recepción mod. DF01, cuerpo metal c/alum. Haya 43" x 71"</t>
  </si>
  <si>
    <t>Archivo Modular de 3 Gavetas ,color aluminio</t>
  </si>
  <si>
    <t>Silla Secretaria;, mod. Trans, sist. Contacto permanente, importada.</t>
  </si>
  <si>
    <t>Escritorio en Melamina, mod. Zk160, Haya, 28" x 28"</t>
  </si>
  <si>
    <t>Gaveta paraTeclado color gris</t>
  </si>
  <si>
    <t>Silla de Visita, mod. VISI, en tela, tubo negro, importada, color negra</t>
  </si>
  <si>
    <t>Archivo Metálico American, 4 gavetas, folder carta 81/2"x11", color crema</t>
  </si>
  <si>
    <t>Base de 3 Apoyos para Mesa de conferencia, Ref. 023A,</t>
  </si>
  <si>
    <t>Estante con Puertas Baja, mod. 2000, en Melamina c/Haya, de 16"x36"x60"</t>
  </si>
  <si>
    <t>Mesa de Cafeteria Redonda, mod. MC-207, metal c/aluminio, 32"D</t>
  </si>
  <si>
    <t xml:space="preserve">103V1B1    </t>
  </si>
  <si>
    <t xml:space="preserve">4GXT1B1        </t>
  </si>
  <si>
    <t xml:space="preserve">2GXT1B1  </t>
  </si>
  <si>
    <t>CLINICA FUNDACION MIR / LA ROMANA</t>
  </si>
  <si>
    <t>MUEBLES OMAR</t>
  </si>
  <si>
    <t>Ck. 62</t>
  </si>
  <si>
    <t>Silla Secretarial sin Brazo en Tela Negra, marca Omar</t>
  </si>
  <si>
    <t>Ck. 67</t>
  </si>
  <si>
    <t>Archivo Metalico de 3 Gavetas</t>
  </si>
  <si>
    <t>INDUMETAL, C X A.</t>
  </si>
  <si>
    <t xml:space="preserve">Archivo Modular de 3 Gavetas </t>
  </si>
  <si>
    <t>Butaca de visita, mod. BV-gob, tela, tubo c/aluminio, importada, color negra</t>
  </si>
  <si>
    <t>PANEL Divisorio con tela, L: 0.80mt, H: 1.5mt, importado</t>
  </si>
  <si>
    <t>Gabinete p/panel, P:0.35mt, L:0.80mt, H: 0.43nt (131/2"x311/2"x17")</t>
  </si>
  <si>
    <t xml:space="preserve">Lampara de Visualización   </t>
  </si>
  <si>
    <t>LABORATORIO BIOMEDICA MG, S.A.</t>
  </si>
  <si>
    <t xml:space="preserve">Centrifuga Serofuge de 12 Tubos    </t>
  </si>
  <si>
    <t>Gradillas: Capacidad de     Tubos / Cant. (3)  Plastica</t>
  </si>
  <si>
    <t xml:space="preserve">Pipeta Automatica 10-100 Lambdas   </t>
  </si>
  <si>
    <t xml:space="preserve">Pipeta Automatica 05-50 Lambdas    </t>
  </si>
  <si>
    <t xml:space="preserve">Rotador De VDRL    </t>
  </si>
  <si>
    <t xml:space="preserve">Silla para Toma de Muestra     </t>
  </si>
  <si>
    <t xml:space="preserve">Escabel de 1 Paso / Banquito de Pies  </t>
  </si>
  <si>
    <t xml:space="preserve">Silla Secretarial Tipo Cajero  </t>
  </si>
  <si>
    <t xml:space="preserve">Camilla de Examen de 3 Posiciones  </t>
  </si>
  <si>
    <t xml:space="preserve">Lampara Cuello de Ganso de Examen Movible </t>
  </si>
  <si>
    <t xml:space="preserve">Archivo Metalico de 4 Gavetas     </t>
  </si>
  <si>
    <t xml:space="preserve">Escritorio Secretarial    </t>
  </si>
  <si>
    <t xml:space="preserve">Silla para Paciente        </t>
  </si>
  <si>
    <t>HOSP. SALVADOR B. GAUTIER</t>
  </si>
  <si>
    <t>Armario Metalico 18 x 36 x 72. Incluye:  2 Puertas y Color Gris</t>
  </si>
  <si>
    <t>Ck. 219        SUB-BENEF.</t>
  </si>
  <si>
    <t>Nevera Mabe de 17" Pies, Color Blanca de Dos Puertas, Mod. RM88B04</t>
  </si>
  <si>
    <t>1003A301516</t>
  </si>
  <si>
    <t>S &amp; R SERVICENTRO, C. POR A.</t>
  </si>
  <si>
    <t>1003A312844</t>
  </si>
  <si>
    <t>Freezer General Electric de 17" Pies, Vertical y Color Blanca de Una Puertas.</t>
  </si>
  <si>
    <t>Archivo Modular de 3 Gavetas, Color Gris</t>
  </si>
  <si>
    <t>CECOMSA</t>
  </si>
  <si>
    <t>Negatoscopio de 1 Cuerpo</t>
  </si>
  <si>
    <t>HOSP. MUN. JAMAO AL NORTE_PROV. ESPAILLAT</t>
  </si>
  <si>
    <t>HOSP. MUN. MANUEL DE LUNA_GASPAR HERNANDEZ</t>
  </si>
  <si>
    <t>AMERICAN BUSINNES MACHINE</t>
  </si>
  <si>
    <t>Archivo Modular de 3 Gavetas Metalicos</t>
  </si>
  <si>
    <t>Ck. 10</t>
  </si>
  <si>
    <t>Ck. 802</t>
  </si>
  <si>
    <t>J3VG684825F</t>
  </si>
  <si>
    <t>CN9AHBK29B</t>
  </si>
  <si>
    <t>Sillón Técnico Mod. St-9642, tela, giratorio</t>
  </si>
  <si>
    <t>Ck 364</t>
  </si>
  <si>
    <t>Edyjcsa comercial</t>
  </si>
  <si>
    <t>Ck 778</t>
  </si>
  <si>
    <t>Camioneta Isuzu 2006 D/C Mecánicas Semi Full, color Dorada</t>
  </si>
  <si>
    <t>AUTOCAMIONES, C. POR A.</t>
  </si>
  <si>
    <t>Camioneta Isuzu 2006 D/C Mecánicas Semi Full, color Rojo Vino</t>
  </si>
  <si>
    <t>Ck 1108</t>
  </si>
  <si>
    <t>Limcoba</t>
  </si>
  <si>
    <t>Ck. 13563</t>
  </si>
  <si>
    <t>Computador Dell Optiplex 780 y Monitor  Dell E Series E1910H 18.5 Pulgada</t>
  </si>
  <si>
    <t>DG31JM1</t>
  </si>
  <si>
    <t>Ck. 14942</t>
  </si>
  <si>
    <t>CNU0383BQV</t>
  </si>
  <si>
    <t>CNU0383BV2</t>
  </si>
  <si>
    <t>Ck. 1247   SUB-BENEF.</t>
  </si>
  <si>
    <t>Archivo Vertical de 3 Gavetas 8 1/2 x 13, Color Gris</t>
  </si>
  <si>
    <t>EQUIMMOF, S.A.</t>
  </si>
  <si>
    <t>Dirección Ejecutiva</t>
  </si>
  <si>
    <t>Ck. 1254   SUB-BENEF.</t>
  </si>
  <si>
    <t>Camara Digital General Electric, 12mp.    Incluye: Bultos y Memoria de 4 GB.</t>
  </si>
  <si>
    <t>DIGITAL HOME, S.A.</t>
  </si>
  <si>
    <t>EL MESON DE DIOS, INC.</t>
  </si>
  <si>
    <t>Ck. 49      SUB-BENEF.</t>
  </si>
  <si>
    <t>Disco Duro Externo WD de 1TB</t>
  </si>
  <si>
    <t>WCAV5K249457</t>
  </si>
  <si>
    <t>PRICE SMART, DOM.</t>
  </si>
  <si>
    <t>Ck. 79      SUB-BENEF.</t>
  </si>
  <si>
    <t>Cámara de Video Digital Sony,               Mod. HDR-XR160 / 3.3 MP, 160GB.</t>
  </si>
  <si>
    <t>P.C. RICHARD &amp; SON</t>
  </si>
  <si>
    <t>Ck. 84      SUB-BENEF.</t>
  </si>
  <si>
    <t>Archivo Vertical de 5 Gavetas Mercury  Color Crema</t>
  </si>
  <si>
    <t>OMAR MUEBLES</t>
  </si>
  <si>
    <t>Ck. 85      SUB-BENEF.</t>
  </si>
  <si>
    <t>Ck. 86      SUB-BENEF.</t>
  </si>
  <si>
    <t>Sillón Ejecutivo en Leder, Color Marron</t>
  </si>
  <si>
    <t>Ck. 87      SUB-BENEF.</t>
  </si>
  <si>
    <t>Set de Silla de Visita de 3 Personas</t>
  </si>
  <si>
    <t>Silla de Visita sin Brazo en Tela Negra</t>
  </si>
  <si>
    <t>Ck. 88      SUB-BENEF.</t>
  </si>
  <si>
    <t>Sillón Técnico, Color Negro</t>
  </si>
  <si>
    <t>Mod. 11060</t>
  </si>
  <si>
    <t>Ck. 89      SUB-BENEF.</t>
  </si>
  <si>
    <t>Bebedero de Botellon Keeprite, con Neverita, Color Blanco</t>
  </si>
  <si>
    <t>11190045</t>
  </si>
  <si>
    <t>INST. NAC. DE LA SALUD / INSALUD</t>
  </si>
  <si>
    <t>LAB. NACIONAL DR. DEFILLO</t>
  </si>
  <si>
    <t xml:space="preserve">Nevera Ejecutiva (TA-04Y04EX) General Electric  </t>
  </si>
  <si>
    <t xml:space="preserve">Librero Tipo Credenza con Puertas Bajas     </t>
  </si>
  <si>
    <t xml:space="preserve">Mesa Redonda en Melanina y Base Metalica   </t>
  </si>
  <si>
    <t xml:space="preserve">DVD Video Player Parker       </t>
  </si>
  <si>
    <t xml:space="preserve">Base Aerea para TV y DVD 21 a 29 " Marca Machino   </t>
  </si>
  <si>
    <t xml:space="preserve">Balanza de Adultos con Tallimetro     </t>
  </si>
  <si>
    <t xml:space="preserve">Lampara Cuello de Ganso de Examen Movible     </t>
  </si>
  <si>
    <t xml:space="preserve">Set de Diagnostico Portatil      </t>
  </si>
  <si>
    <t xml:space="preserve">Vitrina de Medicamentos de 2 Cuerpo    </t>
  </si>
  <si>
    <t xml:space="preserve">Mesa Auxiliar      </t>
  </si>
  <si>
    <t>Computador Tipo CLON, Incluye: UPS Mark de 500W</t>
  </si>
  <si>
    <t xml:space="preserve">Counter de Recepcion en Melamina    </t>
  </si>
  <si>
    <t xml:space="preserve">Banqueta de 5 Personas     </t>
  </si>
  <si>
    <t>Ck. 710515</t>
  </si>
  <si>
    <t>Ck. 1917 y 1979</t>
  </si>
  <si>
    <t>Archivo Metalico de 4 Gavetas, National</t>
  </si>
  <si>
    <t>DM PAPELERIA, C X A.</t>
  </si>
  <si>
    <t>Ck. 10306</t>
  </si>
  <si>
    <t xml:space="preserve">DVD Video Player Samsung </t>
  </si>
  <si>
    <t xml:space="preserve">ZARB691S500597V       </t>
  </si>
  <si>
    <t xml:space="preserve">Ck. 10308 y </t>
  </si>
  <si>
    <t>Ck. 10687</t>
  </si>
  <si>
    <t>Computador Dell Vostro 200MT</t>
  </si>
  <si>
    <t>OMEGA TECH, S.A.</t>
  </si>
  <si>
    <t>Impresora HP Laser Jet P1006</t>
  </si>
  <si>
    <t>Ck. 10827</t>
  </si>
  <si>
    <t>UPS CDP 500 VA</t>
  </si>
  <si>
    <t>ROSA NADAR &amp; ASOCIADOS</t>
  </si>
  <si>
    <t>Ck. 10305 y 11013</t>
  </si>
  <si>
    <t>Vitrina para Medicamentos</t>
  </si>
  <si>
    <t>Ck. 10304 y 11141</t>
  </si>
  <si>
    <t>Ck. 10309 y 11143</t>
  </si>
  <si>
    <t>Bebedero de Botellon American, Mod. BE-55</t>
  </si>
  <si>
    <t xml:space="preserve">Televisor de 21" Marca Daewoo </t>
  </si>
  <si>
    <t>GT08XE3811182</t>
  </si>
  <si>
    <t>CENTRO MATERNO INFANTIL SAN LORENZO DE LOS MINAS</t>
  </si>
  <si>
    <t>Contrato de Adecuación</t>
  </si>
  <si>
    <t>ADQ. DIRECTAMENTE POR CONTRATISTA</t>
  </si>
  <si>
    <t>Nevera Ejecutiva de 5 Pies, General Electric.</t>
  </si>
  <si>
    <t>Ck. 10307 y 11456</t>
  </si>
  <si>
    <t>Ck 3137</t>
  </si>
  <si>
    <t>Equimecoro</t>
  </si>
  <si>
    <t>Camilla de transporte de paciente con barandilla</t>
  </si>
  <si>
    <t>Armario en Metal de 2 Puertas con Cerradura y 5 Espacio.</t>
  </si>
  <si>
    <t>Inversor Inda Qasi Sinusoidal de 2.5 Kilo de 24VDC y 120VAC</t>
  </si>
  <si>
    <t>Mesa Plegadiza de 30 x 72 Lamex</t>
  </si>
  <si>
    <t>Proyector Epson PowerLite S6</t>
  </si>
  <si>
    <t>H283420</t>
  </si>
  <si>
    <t>Rotafolio Base Madera de 26x34 C/Pizarra y 4 Tabla con Gancho x 11</t>
  </si>
  <si>
    <t>Ck. 696</t>
  </si>
  <si>
    <t>Ck. 721</t>
  </si>
  <si>
    <t>Ck. 758</t>
  </si>
  <si>
    <t>Ck. 846</t>
  </si>
  <si>
    <t>Ck. 849</t>
  </si>
  <si>
    <t>Aire Acondicionado TGM de 24,000 BTU. E Instalación.</t>
  </si>
  <si>
    <t xml:space="preserve"> Mod. MWZT-245</t>
  </si>
  <si>
    <t>Impresora HP LáserJet P110ZW</t>
  </si>
  <si>
    <t>VNB3502607</t>
  </si>
  <si>
    <t>Ck. 13168</t>
  </si>
  <si>
    <t>FUNDACION SUR FUTURO</t>
  </si>
  <si>
    <t>HOSP. ROBERT REID CABRAL</t>
  </si>
  <si>
    <t>MUJERES DOM. EN DESARROLLO / MUDE</t>
  </si>
  <si>
    <t>HOSP. FELIPE ACHECAR / PIMENTEL</t>
  </si>
  <si>
    <t>CENTRO DES. INTEG. BARRIO CAPOTILLO</t>
  </si>
  <si>
    <t>HOSP. NORMAN RUIZ / GRINGO DE HAINA</t>
  </si>
  <si>
    <t>HOSP. LEOPOLDO POU / SAMANA</t>
  </si>
  <si>
    <t>HOSP. SAN VICENTE DE PAUL / SFM</t>
  </si>
  <si>
    <t>CENTRO ATENCION PRIMARIA / SAN LUIS</t>
  </si>
  <si>
    <t xml:space="preserve">Base Aerea para TV y DVD de 21-29"     </t>
  </si>
  <si>
    <t>ACTUALIDADES VD, S.A.</t>
  </si>
  <si>
    <t xml:space="preserve">Sofa Mod. Karina de 1 Plaza en Tela   </t>
  </si>
  <si>
    <t>Archivo Tipo Armario con Caja de Seguridad y Cerradura de Combinacion Metal 4 Gaveta, 1 Puerta, Dim. 42"x18"</t>
  </si>
  <si>
    <t>FL BETANCES Y ASOCIADOS</t>
  </si>
  <si>
    <t>Ck. 12477</t>
  </si>
  <si>
    <t>Computador HP Compaq 6000 PRO SFF Incluye: Monitores HP Compaq LE1711-LCD de 17".</t>
  </si>
  <si>
    <t>SINERGIT</t>
  </si>
  <si>
    <t>Ck. 10258</t>
  </si>
  <si>
    <t>Ck. 10112</t>
  </si>
  <si>
    <t>Ck. 10089</t>
  </si>
  <si>
    <t>Ck. 10088</t>
  </si>
  <si>
    <t>Bandeja para teclado</t>
  </si>
  <si>
    <t>Ck. 74</t>
  </si>
  <si>
    <t>Inversor Platinium de 5 Kilo. Incluye: 8 Baterias BLAZE e Instalacion.</t>
  </si>
  <si>
    <t>ELECTRICA FG</t>
  </si>
  <si>
    <t>Preparado Por:</t>
  </si>
  <si>
    <t>Total Adquiridos en RD$ y US$=====&gt;</t>
  </si>
  <si>
    <t>Fuente_1:</t>
  </si>
  <si>
    <t>AMIGOS SIEMPRE AMIGOS / ASA</t>
  </si>
  <si>
    <t>Ck 9737</t>
  </si>
  <si>
    <t>Ck. 730</t>
  </si>
  <si>
    <t>Correspondencia</t>
  </si>
  <si>
    <t xml:space="preserve">Mesa de Centro Mod. MC-501  </t>
  </si>
  <si>
    <t>HOSP. JAIME MOTA / BARAHONA</t>
  </si>
  <si>
    <t>Panel Divisorio con tela , L:0.70 mt, H: 1.5mt, importado</t>
  </si>
  <si>
    <t xml:space="preserve">Banqueta de 3 Personas  </t>
  </si>
  <si>
    <t>Totales</t>
  </si>
  <si>
    <t>Archivo Metalico de 4 Gavetas</t>
  </si>
  <si>
    <t>Servicios Generales</t>
  </si>
  <si>
    <t>Mobiliario, S.A.</t>
  </si>
  <si>
    <t>Tope Crema para estación, P:0.60 Mt,            L 1.20 Mt</t>
  </si>
  <si>
    <t>Juego de Palometas para soporte tope de 60 ó 70 a panel</t>
  </si>
  <si>
    <t>Palometa de soporte central para estaciones de 1.40, 1.50, 1.60</t>
  </si>
  <si>
    <t>Tope para lateral de Estación, P:0.45 Mt, LO.90Mt</t>
  </si>
  <si>
    <t>Módulo metálico con ruedas, 3 gavetas</t>
  </si>
  <si>
    <t>Ck. 1768       SUB-BENEF.</t>
  </si>
  <si>
    <t>OFIDOSA, S.A.</t>
  </si>
  <si>
    <t>Ck. 289</t>
  </si>
  <si>
    <t>Silla Secretarial en Tela Negra</t>
  </si>
  <si>
    <t>Proyector Multimedia Epson S4</t>
  </si>
  <si>
    <t>Impresora Matricial Epson FX-300</t>
  </si>
  <si>
    <t>Banqueta de 5 Personas</t>
  </si>
  <si>
    <t>Sillón Ejecutivo en Tela Azul</t>
  </si>
  <si>
    <t>Vitrina para Medicamentos de 1 Cuerpo</t>
  </si>
  <si>
    <t>Abanico de Techo, Marca: KDK</t>
  </si>
  <si>
    <t>Aire Acondicionado de 9,000 BTU, Marca: MILLER</t>
  </si>
  <si>
    <t>0763-3072</t>
  </si>
  <si>
    <t>RED DOM. DE PERSONAS VIVIENDO CON VIH / REDOVIH</t>
  </si>
  <si>
    <t>Ck. 00025          SUB-BENEF.</t>
  </si>
  <si>
    <t>ASTI CONSULTING, SRL / THE PC STORE</t>
  </si>
  <si>
    <t>Proyector Multimedia Dell 1210s</t>
  </si>
  <si>
    <t>2JW7NG1</t>
  </si>
  <si>
    <t>Ck. 16006</t>
  </si>
  <si>
    <t>Scanner HP ScanJet 5590</t>
  </si>
  <si>
    <t>CN161VH16G</t>
  </si>
  <si>
    <t>-</t>
  </si>
  <si>
    <t>Ck. 2546</t>
  </si>
  <si>
    <t>Nevera Samsung de 18 Pies Cúbico. Color Blanca</t>
  </si>
  <si>
    <t>DISTRIBUIDORA CORRIPIO</t>
  </si>
  <si>
    <t>Ck 5104</t>
  </si>
  <si>
    <t>Ck. 10582</t>
  </si>
  <si>
    <t>CENTRO SANITARIO DE SANTO DOMINGO</t>
  </si>
  <si>
    <t>Nevera NEDOCA 16" Cúbico</t>
  </si>
  <si>
    <t>JKGTTD7R8</t>
  </si>
  <si>
    <t>Silla Secretarial con Brazos</t>
  </si>
  <si>
    <t>Archivo Modular de 3 Gavetas</t>
  </si>
  <si>
    <t>LEON, G.</t>
  </si>
  <si>
    <t>HOSP. GENERAL MELENCIANO / JIMANI</t>
  </si>
  <si>
    <t>Escritorio en Melamina 1,20 x 0,70</t>
  </si>
  <si>
    <t>Escritorio en Melamina 1,40 x 0,70</t>
  </si>
  <si>
    <t>LIMCOBA</t>
  </si>
  <si>
    <t>Counter de Recepcion</t>
  </si>
  <si>
    <t>Banqueta de 3 Personas</t>
  </si>
  <si>
    <t>Balanza de Adultos con Tallimetro</t>
  </si>
  <si>
    <t>Ck. 00373</t>
  </si>
  <si>
    <t>Inversor Trace -Xantrex TR 3.6 Kilo de 24 TR3624. Incluye: 8 Baterias Trace de 6.0V T-115 225mp. e Instalacion.</t>
  </si>
  <si>
    <t>TRACE INTERNACIONAL, C. X. A.</t>
  </si>
  <si>
    <t>CECOMSA, S.A.</t>
  </si>
  <si>
    <t>Mesa de Computadora Tipo Torre</t>
  </si>
  <si>
    <t xml:space="preserve">VND3B63147    </t>
  </si>
  <si>
    <t>GT08XE38191342</t>
  </si>
  <si>
    <t xml:space="preserve">DVD Video Player Samsung   </t>
  </si>
  <si>
    <t>ZAR691S600599L</t>
  </si>
  <si>
    <t>HOSP. MUN. PEDRO A. CESPEDES / CONSTANZA</t>
  </si>
  <si>
    <t>Librero Tipo Credenza con Puertas Bajas</t>
  </si>
  <si>
    <t>Silla de Visita en Tela y Color Negra</t>
  </si>
  <si>
    <t>Ck 32</t>
  </si>
  <si>
    <t>Impresora HP OfficeJet J5780</t>
  </si>
  <si>
    <t>Ck 33</t>
  </si>
  <si>
    <t>Mesa Plegables en Resina 73x30</t>
  </si>
  <si>
    <t>HOSP. PEDRO E. DE MARCHENA / BONAO</t>
  </si>
  <si>
    <t>CNFTLJ1 /  CN-0R034G-64180-92R-622M</t>
  </si>
  <si>
    <t xml:space="preserve">VND3B63041 </t>
  </si>
  <si>
    <t xml:space="preserve">090106-1290841   </t>
  </si>
  <si>
    <t xml:space="preserve">1NFTLJ1 / CN-0R034G-64180-92R-6N3M </t>
  </si>
  <si>
    <t>Nevera Ejecutiva de 5 Pies American, Mod. 130-N</t>
  </si>
  <si>
    <t>HOSP. GRAL. MUN. DE MICHES</t>
  </si>
  <si>
    <t>Calculadora Sharp-El 1801P y 4 Tijera 7" Maped en Acero Inoxidable.</t>
  </si>
  <si>
    <t>Ck2406</t>
  </si>
  <si>
    <t>Ck 2779</t>
  </si>
  <si>
    <t>Delta Comercial, CXA</t>
  </si>
  <si>
    <t>Ck 3142</t>
  </si>
  <si>
    <t>CODIMPSA</t>
  </si>
  <si>
    <t>BIONUCLEAR</t>
  </si>
  <si>
    <t xml:space="preserve">Agitador de Pipetas      </t>
  </si>
  <si>
    <t xml:space="preserve">Baño de Maria 3-6 LTS    </t>
  </si>
  <si>
    <t xml:space="preserve">Horno de Secado de Cristaleria </t>
  </si>
  <si>
    <t>Transf. 102</t>
  </si>
  <si>
    <t>Camioneta Nissan Frontier 4WD, Doble Cabina, Color Gris. 2010.</t>
  </si>
  <si>
    <t>Chassis: JN1CJUD22Z0110543</t>
  </si>
  <si>
    <t>Unidad de Transportación</t>
  </si>
  <si>
    <t>SANTO DOMINGO MOTORS COMPANY, S.A.</t>
  </si>
  <si>
    <t>Ck. 12601</t>
  </si>
  <si>
    <t>Archivo Metálico de 3 Gavetas 8½x13   Color Gris.</t>
  </si>
  <si>
    <t>OFIDOSA</t>
  </si>
  <si>
    <t>Ck. 12687</t>
  </si>
  <si>
    <t>Centrifuga Refrigerada Thermo Fisher Scientific, Mod. Sorvall ST40R</t>
  </si>
  <si>
    <t>BIO-NUCLEAR</t>
  </si>
  <si>
    <t>CONAVIHSIDA</t>
  </si>
  <si>
    <t>Ck. 17304</t>
  </si>
  <si>
    <t>Aire Acondicionado Tipo Split de 12,000 BTU, Marca: PLUSCOOL/GALANZ</t>
  </si>
  <si>
    <t>104548010920</t>
  </si>
  <si>
    <t>AUTOREFRICENTRO M &amp; B</t>
  </si>
  <si>
    <t>Ck. 17370</t>
  </si>
  <si>
    <t>Sillón Semi-Ejecutivo en Tela Negra, con Brazos Fijos, Sistema Giratorio e Hidráulico</t>
  </si>
  <si>
    <t>Mod. SG216-H</t>
  </si>
  <si>
    <t>ACTUALIDADES V.D., S.A.</t>
  </si>
  <si>
    <t>Ck. 17371</t>
  </si>
  <si>
    <t>Armario Metálico de Dos (2) Puerta, Color Crema</t>
  </si>
  <si>
    <t>Mod. Velmer</t>
  </si>
  <si>
    <t>Depto. De Adquisiciones</t>
  </si>
  <si>
    <t>Trituradora de Papel Swingline 10 Hojas, Mod. EX10-06, Color Negro</t>
  </si>
  <si>
    <t>1757392B</t>
  </si>
  <si>
    <t>Gerencia Técnica</t>
  </si>
  <si>
    <t>Computador Dell Optiplex 390 Small Form Factor. Incluye: Monitor Dell, Mouse y Teclado.</t>
  </si>
  <si>
    <t>FL BETANCES Y ASOCIADOS, S.A.</t>
  </si>
  <si>
    <t>Ck. 17563</t>
  </si>
  <si>
    <t>Ck. 17597</t>
  </si>
  <si>
    <t>Jeep Toyota RAV4 Crema</t>
  </si>
  <si>
    <t>Jeep Toyota RAV4 Azul</t>
  </si>
  <si>
    <t>Jeep Nissan Azul</t>
  </si>
  <si>
    <t>Kia Azul</t>
  </si>
  <si>
    <t>MUEBLES DE OFICINA</t>
  </si>
  <si>
    <t xml:space="preserve">Mesa Auxiliar </t>
  </si>
  <si>
    <t>Ck 7661</t>
  </si>
  <si>
    <t>Electromedica, S. A.</t>
  </si>
  <si>
    <t>Balanza de piso mecanica</t>
  </si>
  <si>
    <t>Camilla</t>
  </si>
  <si>
    <t>Banquillo de pie</t>
  </si>
  <si>
    <t>Ck 7687</t>
  </si>
  <si>
    <t>Archivo de 3 Gavetas</t>
  </si>
  <si>
    <t>Escritorio Tipo L 28" x 48" y mesa lateral 18" x 40", color haya</t>
  </si>
  <si>
    <t>Escritorio Tipo L 28" x 55" y mesa lateral 18" x 40", color haya</t>
  </si>
  <si>
    <t>Silla de visita</t>
  </si>
  <si>
    <t>Mueble para visitas de 2 personas, tapizado en tela color negro</t>
  </si>
  <si>
    <t>Mueble para visitas de 3 personas, tapizado en tela color negro</t>
  </si>
  <si>
    <t>Bancada de 4 sillas, forrada en tela lavable, color negro, con brazos y base metálica</t>
  </si>
  <si>
    <t>ADQ. POR EL CONTRATISTA FELIZ &amp; CAPELLAN</t>
  </si>
  <si>
    <t>Ck 3139</t>
  </si>
  <si>
    <t>Armario Metálico master. 2 puertas, 3 tramos 18"x36"x48", color crema</t>
  </si>
  <si>
    <t>Jeep Toyota RAV4, Azul y Plateada, Año 2007 / Adquisicion de Dos (2) Vehiculos</t>
  </si>
  <si>
    <t>Ck. 340</t>
  </si>
  <si>
    <t>COMPUDOMSA</t>
  </si>
  <si>
    <t>Ck. 1532 / 1534</t>
  </si>
  <si>
    <t>Escritorio en Melanina Tipo L</t>
  </si>
  <si>
    <t xml:space="preserve">Escritorio en Melanina Tipo L </t>
  </si>
  <si>
    <t>Armario Metalico 18 x 36 x 72</t>
  </si>
  <si>
    <t>Inversor Amcalite de 3,5 Kilos                    3,500 Watts</t>
  </si>
  <si>
    <t>AMCA, S.A.</t>
  </si>
  <si>
    <t>Ck. 15404</t>
  </si>
  <si>
    <t>Dispositivo Fijo de Comunicación, GPS SYRUS P/Tracking Vehicular.</t>
  </si>
  <si>
    <t>356612021112703</t>
  </si>
  <si>
    <t>INFORMATICA ACTUALIZADA, S.A.</t>
  </si>
  <si>
    <t>356612021040839</t>
  </si>
  <si>
    <t>356612021086931</t>
  </si>
  <si>
    <t>356612021090347</t>
  </si>
  <si>
    <t>356612021089323</t>
  </si>
  <si>
    <t>356612021153538</t>
  </si>
  <si>
    <t>Ck. 15529</t>
  </si>
  <si>
    <t>UPS APC Symmetra LX 8KVA</t>
  </si>
  <si>
    <t>QD1035360496</t>
  </si>
  <si>
    <t>Ck. 00000      Ck. 13402       Ck. 12849</t>
  </si>
  <si>
    <t>AMCO INSTRUMENTS, S.A.</t>
  </si>
  <si>
    <t>Sillones Semi Ejecutivos, tapizado en tela color negro</t>
  </si>
  <si>
    <t>Ck 8537</t>
  </si>
  <si>
    <t>METALGAS, S.R.L.</t>
  </si>
  <si>
    <t>Ck. 120      SUB-BENEF.</t>
  </si>
  <si>
    <t>Abanico de Techo KDK, Color Blanco</t>
  </si>
  <si>
    <t>LA INNOVACION,         C. X A.</t>
  </si>
  <si>
    <t>Ck. 121      SUB-BENEF.</t>
  </si>
  <si>
    <t>ALIANZA SOLID. P/L CONTRA EL VIH / ASOLSIDA</t>
  </si>
  <si>
    <t>Técnico Controles Internos</t>
  </si>
  <si>
    <t>Revisado Por:</t>
  </si>
  <si>
    <t>Doc. Adquic.</t>
  </si>
  <si>
    <t>PROMEDICA, C X A.</t>
  </si>
  <si>
    <t>Ck 4962</t>
  </si>
  <si>
    <t xml:space="preserve">Televisor de 29" Marca RCA   </t>
  </si>
  <si>
    <t xml:space="preserve">ECE-900005C-0386  </t>
  </si>
  <si>
    <t>UTIC</t>
  </si>
  <si>
    <t>Ck. 10225</t>
  </si>
  <si>
    <t>UPS Central PowerWare No.9155 De 15WVA/13,5KW</t>
  </si>
  <si>
    <t>BB505FBB04</t>
  </si>
  <si>
    <t>NORFOX</t>
  </si>
  <si>
    <t xml:space="preserve">Set de Diagnostico de Pared  </t>
  </si>
  <si>
    <t>Ck. 9903</t>
  </si>
  <si>
    <t xml:space="preserve">Camilla de Examen de 3 Posiciones   </t>
  </si>
  <si>
    <t>MEDIEQUIPOS, S.A.</t>
  </si>
  <si>
    <t xml:space="preserve">Nevera Ejecutiva Color Blanca      </t>
  </si>
  <si>
    <t xml:space="preserve">Archivo Modular de 3 Gavetas  </t>
  </si>
  <si>
    <t>Sillón Semi-Ejecutivo en Tela Negra</t>
  </si>
  <si>
    <t xml:space="preserve">Silla de Visita en Tela y Color Negra    </t>
  </si>
  <si>
    <t>ASOC. PARA LA PROMOCION DE LA VIDA / COOVIDA</t>
  </si>
  <si>
    <t>Fuente_2:</t>
  </si>
  <si>
    <t>Sub-Beneficiarios.</t>
  </si>
  <si>
    <t>Monitores Financieros</t>
  </si>
  <si>
    <t>Ck. 18084</t>
  </si>
  <si>
    <t>Banco para Jardin en Hierro y Madera</t>
  </si>
  <si>
    <t>Ck. 117       SUB-BENEF.</t>
  </si>
  <si>
    <t>FUNDACION AIR FOR AIDS DOMINICANA</t>
  </si>
  <si>
    <t>YAMP TECNO-MAX SERVICES</t>
  </si>
  <si>
    <t>Impresora HP LáserJet, Mod. 1212NF, Multifuncional</t>
  </si>
  <si>
    <t>CNG9D7K2YR</t>
  </si>
  <si>
    <t>Ck. 719       SUB_BENEF.</t>
  </si>
  <si>
    <t>KGM COMERCIAL</t>
  </si>
  <si>
    <t>Ck. 19472</t>
  </si>
  <si>
    <t>OFISERVICIOS DOMINICANO, S.A.</t>
  </si>
  <si>
    <t>Anaqueles Metálicos de 6 Bandejas Gris. Cantidad: 20 Unidades</t>
  </si>
  <si>
    <t>Escritorio en Melamina y Base de Metal 28x48</t>
  </si>
  <si>
    <t>Ck. 19473</t>
  </si>
  <si>
    <t>Archivo Modular Metálico de 3 Gavetas Color Gris</t>
  </si>
  <si>
    <t>LEON G.</t>
  </si>
  <si>
    <t>REFRIPARTES, S.A.</t>
  </si>
  <si>
    <t>Ck. 19990 y 3844</t>
  </si>
  <si>
    <t>Caja Fuerte de Seguridad, Dimensión 22.25 x 18.87 x 17.70”</t>
  </si>
  <si>
    <t>Coordinación Administrativa</t>
  </si>
  <si>
    <t>FL BETANCES Y ASOCIADO, S.A.</t>
  </si>
  <si>
    <t>Nevera MABE de Dos Puerta 18" Pies</t>
  </si>
  <si>
    <t>RF12VW1SIA</t>
  </si>
  <si>
    <t>Armário Metálico de 2 Puertas, Steelfile</t>
  </si>
  <si>
    <t>Mod. SS-031D</t>
  </si>
  <si>
    <t>Scanner Canon Slide 110</t>
  </si>
  <si>
    <t>KECC44260</t>
  </si>
  <si>
    <t xml:space="preserve">Calculadora Sumadora Sharp EL-2630P  </t>
  </si>
  <si>
    <t>NOVALOGIQ</t>
  </si>
  <si>
    <t>Ck. 20060</t>
  </si>
  <si>
    <t>Computador Dell Optiplex 7010</t>
  </si>
  <si>
    <t>CPU: D1JDGX1  MONITOR: CN-0R16JC-72872-340-F4UM</t>
  </si>
  <si>
    <t>CPU: D1LJGX1 MONITOR: CN-0R16JC-72872-340-ERLM</t>
  </si>
  <si>
    <t>CPU: D1NDGX1 MONITOR: CN-0R16JC-72872-340-F4TM</t>
  </si>
  <si>
    <t>CPU: D1GHGX1 MONITOR: CN-0R16JC-72872-340-F62M</t>
  </si>
  <si>
    <t>CPU: D1GKGX1 MONITOR: CN-0R16JC-72872-340-ERFM</t>
  </si>
  <si>
    <t>CPU: D1KFGX1 MONITOR: CN-0R16JC-72872-340-FOMM</t>
  </si>
  <si>
    <t>CPU: D1KGGX1 MONITOR: CN-0R16JC-72872-340-F50M</t>
  </si>
  <si>
    <t>CPU: D1LHGX1 MONITOR: CN-0R16JC-72872-340-F55M</t>
  </si>
  <si>
    <t>CPU: D1JFGX1 MONITOR: CN-0R16JC-72872-340-FOEM</t>
  </si>
  <si>
    <t>CPU: D1LDGX1 MONITOR: CN-0R16JC-72872-340-EULM</t>
  </si>
  <si>
    <t>CPU: D1NGGX1 MONITOR: CN-0R16JC-72872-340-EUKM</t>
  </si>
  <si>
    <t>CPU: D1NHGX1 MONITOR: CN-0R16JC-72872-340-ADLM</t>
  </si>
  <si>
    <t>Ck. 20090</t>
  </si>
  <si>
    <t>Laptop Dell Latitude E5530. Incluye: Bultos en Piel o Nylon.</t>
  </si>
  <si>
    <t>1WHLKX1</t>
  </si>
  <si>
    <t>GV8LKX1</t>
  </si>
  <si>
    <t>Ck. 371    SUB-BENEF.</t>
  </si>
  <si>
    <t>Laptop HP ProBook 4540s. Incluye: Bulto de Nylon.</t>
  </si>
  <si>
    <t>CCE2423D79</t>
  </si>
  <si>
    <t>Ck. 20196</t>
  </si>
  <si>
    <t>Impresora LaserJet Pro-400 Color M451DN</t>
  </si>
  <si>
    <t>CNDF214744</t>
  </si>
  <si>
    <t>CNDF214757</t>
  </si>
  <si>
    <t>CNDF315264</t>
  </si>
  <si>
    <t>CNDF315267</t>
  </si>
  <si>
    <t>CNDF315268</t>
  </si>
  <si>
    <t>CNDF315271</t>
  </si>
  <si>
    <t>CNDF315272</t>
  </si>
  <si>
    <t>CNDF104311</t>
  </si>
  <si>
    <t>CNDF104314</t>
  </si>
  <si>
    <t>Laptop Dell Latitude E5530. Incluye: Docking Station y Bultos en Nylon.</t>
  </si>
  <si>
    <t>8LRKJX1</t>
  </si>
  <si>
    <t>F7SKJX1</t>
  </si>
  <si>
    <t xml:space="preserve"> H0SKJX1 </t>
  </si>
  <si>
    <t>Ck. 20291</t>
  </si>
  <si>
    <t>Equipo de Electroforesis de Gel de Agarosa InterLab-Pretty. Incluye: PC, UPS y Printer.</t>
  </si>
  <si>
    <t>CLINIMED, SRL.</t>
  </si>
  <si>
    <t>Ck. 380    SUB-BENEF.</t>
  </si>
  <si>
    <t>2D00891X</t>
  </si>
  <si>
    <t>OFFITEK, S.R.L.</t>
  </si>
  <si>
    <t>Ck. 20477</t>
  </si>
  <si>
    <t>PC GALLERY, S.R.L.</t>
  </si>
  <si>
    <t>Ck. 20478</t>
  </si>
  <si>
    <t>Flash SB-910 AF Speedlight I-ITTL Shoe Mount y Dos (2) Memorias Card 400x UDMA de 32GB.</t>
  </si>
  <si>
    <t>LR CAMARA SHOP, S.R.L.</t>
  </si>
  <si>
    <t>Ck. 20479</t>
  </si>
  <si>
    <t>Lente Telefoto Zoom 18-200mm F3.5-6   AF-S y Un Bulto para Camara Profesional.</t>
  </si>
  <si>
    <t>US2040511</t>
  </si>
  <si>
    <t>CAMARAS Y LAPTOPS MG OUTLET</t>
  </si>
  <si>
    <t>Ck. 20498</t>
  </si>
  <si>
    <t>Coordinación Financiera</t>
  </si>
  <si>
    <t>Total Año 2005</t>
  </si>
  <si>
    <t>Total Año 2012</t>
  </si>
  <si>
    <t>Total Año 2013</t>
  </si>
  <si>
    <t>Total Año 2014</t>
  </si>
  <si>
    <t>Depto. Transportación</t>
  </si>
  <si>
    <t>Total Año 2006</t>
  </si>
  <si>
    <t>Total Año 2007</t>
  </si>
  <si>
    <t>Total Año 2008</t>
  </si>
  <si>
    <t>Total Año 2009</t>
  </si>
  <si>
    <t>Total Año 2010</t>
  </si>
  <si>
    <t>Total Año 2011</t>
  </si>
  <si>
    <t>Laptop HP Pro Book 6550b. Incluye: Docking Station y Bulto</t>
  </si>
  <si>
    <t>CIRCULO DE PERIODISTA DE LA SALUD / CIPESA</t>
  </si>
  <si>
    <t>Ck. 366            SUB-BENEF.</t>
  </si>
  <si>
    <t>Impresora HP LaserJet Pro M1212NF Multifuncional.</t>
  </si>
  <si>
    <t>CDJ8F4C41B</t>
  </si>
  <si>
    <t>Ck. 21395</t>
  </si>
  <si>
    <t>Silla Secretarial con Brazos, Espaldar en Malla y Asiento en Tela color Negro</t>
  </si>
  <si>
    <t>JAYSA MUEBLES, S.R.L.</t>
  </si>
  <si>
    <t>Ck. 21612 y 4059</t>
  </si>
  <si>
    <t>RADIOCENTRO, S.R.L.</t>
  </si>
  <si>
    <t>Ck. 21648 y 4055</t>
  </si>
  <si>
    <t>Aire Acondicionado Tipo Split de 24,000 BTU. Marca: Midea. Incluye: Kit de Instalación.</t>
  </si>
  <si>
    <t>Licda. Ingrid Melo</t>
  </si>
  <si>
    <t>Coordinadora Financiera</t>
  </si>
  <si>
    <t>Ck. 21936</t>
  </si>
  <si>
    <t>Silla Secretarial con Brazos, Espaldar en Malla Verde y Asiento en Tela.</t>
  </si>
  <si>
    <t>EDUVIGES ALTAGR. CONTRERAS / TIENDA LA SIRENA.</t>
  </si>
  <si>
    <t>Ck. 21961</t>
  </si>
  <si>
    <t>CPU: 9G31JM1 / MONITOR: CN-00H3PD-7287207M-1MRS</t>
  </si>
  <si>
    <t>Aire Acondicionado Tipo Split de 12,000 BTU. Marca: TGM Horz. Incluye: Kit de Instalación</t>
  </si>
  <si>
    <t>GG31JM1 / CN-0Y4413-72201-51R-3D7Y</t>
  </si>
  <si>
    <t xml:space="preserve">CPU: D1NCGX1 MONITOR: CN-0CC352-64180-62J-27WL     </t>
  </si>
  <si>
    <t>5K6QPS1 / CN-0N01VP-64180-23H-ILSS</t>
  </si>
  <si>
    <t xml:space="preserve">5K6PPS1 / CN-0N01VP-64180-23H-YMCS </t>
  </si>
  <si>
    <t>2N8LKX1 / CN-0N01VP-64180-23H-1LM5</t>
  </si>
  <si>
    <t>5K5TPS1 / CN-00H3PD-72872-07M-1MHS</t>
  </si>
  <si>
    <t>CPU: D1KJGX1  MONITOR: CN-0R16JC-72872-340-FOFM</t>
  </si>
  <si>
    <t>CPU: MXL0191LR6 / PANTALLA: CNN40628NR</t>
  </si>
  <si>
    <t xml:space="preserve"> 8V8LKX1 / CN-0R16JC-72872-340-EHJM</t>
  </si>
  <si>
    <t>5K5SPS1 / CN-0PT9401-71618-59F-A255</t>
  </si>
  <si>
    <t>5K6TPS1 / CN-0N01VP-64180-23A-0UPS</t>
  </si>
  <si>
    <t>Ck. 22895  y 4220 Gob.    ITBIS</t>
  </si>
  <si>
    <t>Ck. 22992  y 4224 Gob.  ITBIS</t>
  </si>
  <si>
    <t xml:space="preserve">Ck. 23030 </t>
  </si>
  <si>
    <t>Ck. 23031</t>
  </si>
  <si>
    <t>Ck. 23096      Caja Chica</t>
  </si>
  <si>
    <t>Ck. 23328 y 000024 Contrapartida ITBIS</t>
  </si>
  <si>
    <t>Ck. 23336 y 000003 Contrapartida ITBIS</t>
  </si>
  <si>
    <t>Ck. 23349   y 000025 Contrapartida ITBIS</t>
  </si>
  <si>
    <t xml:space="preserve">Ck. 23409             </t>
  </si>
  <si>
    <t>Ck. 23409</t>
  </si>
  <si>
    <t>Ck. 23416  y 000018 Contrapartida ITBIS</t>
  </si>
  <si>
    <t>Ck. 23419 y 000016 Contrapartida ITBIS</t>
  </si>
  <si>
    <t>Ck. 23423 y 000017  Contrapartida ITBIS</t>
  </si>
  <si>
    <t>Bebedero de Botellón General Electric con Neverita  Integrada.</t>
  </si>
  <si>
    <t>21529NZC0658</t>
  </si>
  <si>
    <t>Scanner Fujitsu Scan Snap iX500</t>
  </si>
  <si>
    <t>A0VB235236</t>
  </si>
  <si>
    <t>SIMPAPEL, SRL.</t>
  </si>
  <si>
    <t>Armario Metalico de 2 Puertas, Color Gris</t>
  </si>
  <si>
    <t>EDYJCSA, SRL.</t>
  </si>
  <si>
    <t>Trituradora de Papel GBC ShredMaster de 12 Hoja. Mod. SC170</t>
  </si>
  <si>
    <t>AG28422H</t>
  </si>
  <si>
    <t>GLOBAL OFFICE JL, SRL.</t>
  </si>
  <si>
    <t>EDUVIGES ALT. CONTRERAS Y/O OPORTUNIDADES MOLINA.</t>
  </si>
  <si>
    <t>CLICKTECK, S.R.L.</t>
  </si>
  <si>
    <t>OFICINA METROPOLITANA DE SALUD - D.N.</t>
  </si>
  <si>
    <t>OFICINA REGIONAL DE SALUD - BARAHONA</t>
  </si>
  <si>
    <t>Aire Acondicionado Tipo Split de 12,000 BTU. Marca: Lennox. Incluye: Kit de Instalación y Base.</t>
  </si>
  <si>
    <t>COND.: S2815B09292   COMP. : S2815B58953</t>
  </si>
  <si>
    <t>REFRICENTRO LOS PRADOS, SRL.</t>
  </si>
  <si>
    <t>COND.: S2815B02276   COMP. : S2815B58930</t>
  </si>
  <si>
    <t>Aire Acondicionado Tipo Split de 18,000 BTU. Marca: Lennox. Incluye: Kit de Instalación y Base.</t>
  </si>
  <si>
    <t>COND.: S2815B59091   COMP. : S2815B09378</t>
  </si>
  <si>
    <t>OFICINA REGIONAL DE SALUD - SAN PEDRO</t>
  </si>
  <si>
    <t>Aire Acondicionado Tipo Split de 36,000 BTU. Marca: Lennox. Incluye: Kit de Instalación y Base.</t>
  </si>
  <si>
    <t>81729NMD0486</t>
  </si>
  <si>
    <t>ALMACENES UNIDOS, S.A.S.</t>
  </si>
  <si>
    <t>90129NMD0340</t>
  </si>
  <si>
    <t>Abanico de Pared Hamilton 18"</t>
  </si>
  <si>
    <t>Mod. KF-1816</t>
  </si>
  <si>
    <t>Escritorio en Melanina 120 x 60cm. + Mesa Auxiliar en Melanina 18 x 42"</t>
  </si>
  <si>
    <t>ACTUALIDADES DV, S.R.L.</t>
  </si>
  <si>
    <t>Escritorio en Melanina 120 x 60cm.</t>
  </si>
  <si>
    <t>Sillón Ejecutivo en Piel Negra</t>
  </si>
  <si>
    <t>Banqueta de 3 Personas, Base Aluminio y Tela Negra 62"</t>
  </si>
  <si>
    <t xml:space="preserve">Archivo Modular Metálico de 3 Gavetas Color Gris </t>
  </si>
  <si>
    <t>Mesa de Reuniones Redonda 4 Personas</t>
  </si>
  <si>
    <t>Estante Tipo Librero con Puertas Bajas</t>
  </si>
  <si>
    <t>Guillotina de 18" y Base en Madera      Marca: SwinLain</t>
  </si>
  <si>
    <t>Mod. 9118A</t>
  </si>
  <si>
    <t>Maquina Encuadernadora GBC</t>
  </si>
  <si>
    <t>Mod. MX0016</t>
  </si>
  <si>
    <t>UPS OMEA DE 650VA con Regulador de Voltaje Integrado</t>
  </si>
  <si>
    <t>UNIDAD TECNOLOGICA DOM. SRL.</t>
  </si>
  <si>
    <t>111503300297</t>
  </si>
  <si>
    <t>111503300298</t>
  </si>
  <si>
    <t>Computador Dell Optiplex 3020 SFF</t>
  </si>
  <si>
    <t>CPU: BS79C42    MONITOR: CN-0HDNH9-72872-44M-AJJB</t>
  </si>
  <si>
    <t>FL BETANCES Y ASOCIADOS, SRL.</t>
  </si>
  <si>
    <t>CPU: DNX1942    MONITOR: CN-0HDNH9-72872-455-DMPB</t>
  </si>
  <si>
    <t>CPU: FCYRR12    MONITOR: CN-0HDNH9-72872-44A-A7DB</t>
  </si>
  <si>
    <t>CPU: DNY4942        MONITOR: CN-0HDNH9-72872-4AG-AGGM</t>
  </si>
  <si>
    <t>CPU: 8PB0T12         MONITOR: CN-0HDNH9-72872-4AK-CKHB</t>
  </si>
  <si>
    <t>CPU: DN64942         MONITOR: CN-0HDNH9-72872-45U-A9FM</t>
  </si>
  <si>
    <t>Camioneta Mazda BT-50 Doble Cabina 4x4 2014. Color Blanca</t>
  </si>
  <si>
    <t>VIAMAR, S.A.</t>
  </si>
  <si>
    <t>Impresora LaserJet Pro MFP M225dw</t>
  </si>
  <si>
    <t>CNB8H253V5</t>
  </si>
  <si>
    <t>CNB8H253SM</t>
  </si>
  <si>
    <t>CNB8H253WG</t>
  </si>
  <si>
    <t>CNB8H253YW</t>
  </si>
  <si>
    <t>CNB8H253TW</t>
  </si>
  <si>
    <t>Jeepeta Suzuki Grand Vitara 2015 / 2W    Color Gris</t>
  </si>
  <si>
    <t xml:space="preserve">OFICINA REGIONAL DE SALUD - BARAHONA     </t>
  </si>
  <si>
    <t>Total Año 2015</t>
  </si>
  <si>
    <t>Bebedero de Botellon, Marca: American, Mod. 66SSA.</t>
  </si>
  <si>
    <t>Ck. 23833 y Ck. 78 Pago  ITBIS - Anticipo</t>
  </si>
  <si>
    <t>Honda CR-V Semi-Full 2WD 2015</t>
  </si>
  <si>
    <t>AGENCIA BELLA, S.A.</t>
  </si>
  <si>
    <t>Recepción</t>
  </si>
  <si>
    <t>Ck. 24279  y Ck. 105 Pago ITBIS - Anticipo</t>
  </si>
  <si>
    <t>Mueble Tipo Estante en Madera y Revestido en Formica, para Impresora y Copiadora.</t>
  </si>
  <si>
    <t>DANIEL FERNANDEZ MEDRANO</t>
  </si>
  <si>
    <t>Ck. 24442  y Ck. 113  ITBIS Gob. Donación</t>
  </si>
  <si>
    <t>Ck. 23442  y Ck. 113   ITBIS Gob. Donación</t>
  </si>
  <si>
    <t>Archivo Lateral de 4 Gavetas, Color Crema</t>
  </si>
  <si>
    <t>RED DE JOVENES UNIDOS DE GUACHUPITA</t>
  </si>
  <si>
    <t>Total Año 2016</t>
  </si>
  <si>
    <t>CLICKTECK, SRL.</t>
  </si>
  <si>
    <t>Ck. 25076</t>
  </si>
  <si>
    <t>CPU: 6VZSD42 / MONITOR: CN-0HN22V-7282-66L-AMUB</t>
  </si>
  <si>
    <t>CPU: 6VZ1F42 / MONITOR: CN-0HN22V-7282-66L-ANKB</t>
  </si>
  <si>
    <t>CPU: 6W21F42 / MONITOR: CN-0HN22V-7282-66L-ANCB</t>
  </si>
  <si>
    <t>CPU: 6W23F42 / MONITOR: CN-0HN22V-7282-66L-AYHB</t>
  </si>
  <si>
    <t xml:space="preserve">CICATELLI ASSOCIATES, INC / CAI </t>
  </si>
  <si>
    <t>TRANS SIEMPRE AMIGAS / TRANSSA</t>
  </si>
  <si>
    <t>CPU: 6W13F42 / MONITOR: CN-0HN22V-7282-66L-C29B</t>
  </si>
  <si>
    <t>MOV. SOCIO-CULTURAL DE LOS TRAB. HAITIANOS / MOSCTHA</t>
  </si>
  <si>
    <t>CPU: 6W4XD42 / MONITOR: CN-0HN22V-7282-66L-A4RB</t>
  </si>
  <si>
    <t>CPU: 6WOYD42 / MONITOR: CN-0HN22V-7282-66L-A4HB</t>
  </si>
  <si>
    <t>CPU: 6VYWD42 / MONITOR: CN-0HN22V-7282-66L-C3JB</t>
  </si>
  <si>
    <t>CPU: 6WC2F42 / MONITOR: CN-0HN22V-7282-66L-A3WB</t>
  </si>
  <si>
    <t>CPU: 6WHZD42 / MONITOR: CN-0HN22V-7282-66L-APGB</t>
  </si>
  <si>
    <t>CENTRO INV. Y APOYO CULTURAL, INC. / CIAC</t>
  </si>
  <si>
    <t>CENTRO DE PROMOCION Y SOL. HUMANA / CEPROSH</t>
  </si>
  <si>
    <t>CPU: 6W7TD42 / MONITOR: CN-0HN22V-7282-66L-C0GB</t>
  </si>
  <si>
    <t>CPU: DR21082 / MONITOR: CN-0HN22V-7282-66L-A1UB</t>
  </si>
  <si>
    <t>ASOC. DOMINICANA DE PLANIFICACION FAMILIAR / ADOPLAFAM</t>
  </si>
  <si>
    <t>CPU: 6W1ZD42 / MONITOR: CN-0HN22V-7282-66L-AWUB</t>
  </si>
  <si>
    <t>FUND. DE MUJERES PARA EL DES. DE SAN JUAN / FUMUDESJU</t>
  </si>
  <si>
    <t>CPU: 6W30F42 / MONITOR: CN-0HN22V-7282-66L-ANJB</t>
  </si>
  <si>
    <t>CPU: J5QRV52 / MONITOR: CN-0HN22V-7282-66L-A3CB</t>
  </si>
  <si>
    <t>Ck. 25115</t>
  </si>
  <si>
    <t>CPU: FV27ND2  / MONITOR: GTQL192</t>
  </si>
  <si>
    <t>PENAL DE LA VICTORIA</t>
  </si>
  <si>
    <t>CPU: FV29ND2 / MONITOR: 5VQL192</t>
  </si>
  <si>
    <t>HOSP. CENTRAL DE LA FUERZAS ARMADAS</t>
  </si>
  <si>
    <t>CPU: FV16ND2 / MONITOR: 647NK62</t>
  </si>
  <si>
    <t>HOSP. GENERAL DR. VINICIO CALVENTI</t>
  </si>
  <si>
    <t xml:space="preserve">CPU: FV37ND2 / MONITOR: FK2F192                                 </t>
  </si>
  <si>
    <t xml:space="preserve">CPU: FV09ND2 / MONITOR: 3BQL192                                 </t>
  </si>
  <si>
    <t xml:space="preserve">CPU: FV28ND2 / MONITOR: JD7NK62                              </t>
  </si>
  <si>
    <t>HOSP. ANTONIO MUSA / SAN PEDRO DE MACORIS</t>
  </si>
  <si>
    <t xml:space="preserve">CPU: FV2DND2 / MONITOR: H1CNK62             </t>
  </si>
  <si>
    <t xml:space="preserve">HOSP. PASCASIO TOBIRIO PIANTINI / SALCEDO              </t>
  </si>
  <si>
    <t xml:space="preserve">CPU: FTZ9ND2 / MONITOR: 4LBNK62    </t>
  </si>
  <si>
    <t>HOSP. NTRA. SEÑORA DE REGLA / BANI</t>
  </si>
  <si>
    <t>CPU: FV0CND2 / MONITOR: 22PL192</t>
  </si>
  <si>
    <t>Ck. 25528 + ITBIS Ck.276 Contrapart.</t>
  </si>
  <si>
    <t>MICRO &amp; MINICOMPUTADORES, S.A.</t>
  </si>
  <si>
    <t>CTM18H2</t>
  </si>
  <si>
    <t>Laptop: GYG18H2   Monitor: CN-OR16JC-72872-34O-EH9M</t>
  </si>
  <si>
    <t>Ck. 25574 + ITBIS Ck.281 Contrapart.</t>
  </si>
  <si>
    <t>2ZM18H2</t>
  </si>
  <si>
    <t>GTM18H2</t>
  </si>
  <si>
    <t>BOR18H2</t>
  </si>
  <si>
    <t>9P928H2</t>
  </si>
  <si>
    <t>9Q928H2</t>
  </si>
  <si>
    <t>CECOMSA, SRL.</t>
  </si>
  <si>
    <t>Total Año 2017</t>
  </si>
  <si>
    <t>Laptop Dell XPS 13 9350 Ultrabook Silver           Incluye: Cargador y Adaptador USB</t>
  </si>
  <si>
    <t>Cristian Dimaren</t>
  </si>
  <si>
    <t>20E05-001                               Mod. Merck-Hitachi</t>
  </si>
  <si>
    <t xml:space="preserve">Vitrina de Medicamentos Metálica de 2 Cuerpos  </t>
  </si>
  <si>
    <t>Escritorio en melamina 28" x 48", color haya</t>
  </si>
  <si>
    <t>Moldura de Terminación, H: 1.50mt. Cantidad: 08 Unidades.</t>
  </si>
  <si>
    <t>Moldura de Unión para 2 paredes, H: 1.50Mt. Cantidad: 04 Unidades.</t>
  </si>
  <si>
    <t>Moldura Unión tipo L, H: 1.50Mt.       Cantidad: 04 Unidades.</t>
  </si>
  <si>
    <t>Silla sin Brazos Mod. SV-307. Area de Cocina.</t>
  </si>
  <si>
    <t>1124703</t>
  </si>
  <si>
    <t>Moldura Unión Tipo L, H:1.50 Mt. Cantidad: 23 Unidades</t>
  </si>
  <si>
    <t>Moldura de terminacion, H:1.50Mt. Cantidad: 18 Unidades</t>
  </si>
  <si>
    <t>Panel Divisorio L1 20Mts, H:1.50, c/tela.  Grande</t>
  </si>
  <si>
    <t>Panel Divisorio LO 70Mts c/tela. Pequeño</t>
  </si>
  <si>
    <t>Archivo de 2 Gavetas en Madera</t>
  </si>
  <si>
    <t xml:space="preserve">HOSP. LOCAL BOCA CHICA  </t>
  </si>
  <si>
    <t>Abanico de Pared, Marca: Daiwa</t>
  </si>
  <si>
    <t>Fuente_3:</t>
  </si>
  <si>
    <t>Depto. Financiero - CONAVIHSIDA</t>
  </si>
  <si>
    <t>Lic. Yoel Mieses Ortiz</t>
  </si>
  <si>
    <t>Total Año 2018</t>
  </si>
  <si>
    <t>PROGRAMA DE MEDICAMENTOS DE ALTO COSTO</t>
  </si>
  <si>
    <t>Ck. 26097</t>
  </si>
  <si>
    <t>Santo Domingo, D.N.</t>
  </si>
  <si>
    <t>LABORATORIO CLINICO Centro Sanitario Santo Domingo</t>
  </si>
  <si>
    <t>CUSTOMED DOMINICANA, SRL.</t>
  </si>
  <si>
    <t>San Pedro de Macoris</t>
  </si>
  <si>
    <t>LABORATORIO CLINICO Centro Diagnóstico y Atención Primaria "Porvenir" SPM</t>
  </si>
  <si>
    <t>Santiago de los Caballeros</t>
  </si>
  <si>
    <t>LABORATORIO CLINICO Centro Diagnóstico y Atención Primaria "Gurabo" Santiago</t>
  </si>
  <si>
    <t>BIONUCLEAR, S.A.</t>
  </si>
  <si>
    <t>Centrifuga de 24 Tubos de 5-15ml ALREADY</t>
  </si>
  <si>
    <t>Autoclave Eléctrico de 48 Litros de Piso Fanem</t>
  </si>
  <si>
    <t>Pipeta Automática Socorex 10-100ul</t>
  </si>
  <si>
    <t>Pipeta Automática Socorex 1-10ul</t>
  </si>
  <si>
    <t>Pipeta Automática Finnpipette Thermo 1-10ul</t>
  </si>
  <si>
    <t>Cronómetro Digital</t>
  </si>
  <si>
    <t>Computador Dell Optiplex 7060. Incluye: Monitor Dell 19" E1916H, Mouse y Teclado.</t>
  </si>
  <si>
    <t>CPU: 42W1MR2 / MONITOR: 2250KP2</t>
  </si>
  <si>
    <t>CPU: 4355MR2 / MONITOR: GF30KP2</t>
  </si>
  <si>
    <t>CPU: 43ZZLR2 / MONITOR: FM65RM2</t>
  </si>
  <si>
    <t>Paquete de Microsoft Office 2019</t>
  </si>
  <si>
    <t>Impresora Zebra ZD410 P/Código de Barras</t>
  </si>
  <si>
    <t>50J183002819</t>
  </si>
  <si>
    <t>50J183002855</t>
  </si>
  <si>
    <t>50J183002965</t>
  </si>
  <si>
    <t>50J183002983</t>
  </si>
  <si>
    <t>Scanner Honeywell MK9540 USB P/Lector Código de Barras</t>
  </si>
  <si>
    <t>2K17412796</t>
  </si>
  <si>
    <t>2K17430374</t>
  </si>
  <si>
    <t>2K17423985</t>
  </si>
  <si>
    <t>LABORATORIO NACIONAL DE SALUD PUBLICA DR. DEFILLO‎</t>
  </si>
  <si>
    <t>2K17423467</t>
  </si>
  <si>
    <t>Impresora HP LaserJet Pro MFP M227FDW</t>
  </si>
  <si>
    <t>VND3C06172</t>
  </si>
  <si>
    <t>VND3C06175</t>
  </si>
  <si>
    <t>VND3C31738</t>
  </si>
  <si>
    <t>Computador Dell Optiplex 3020                 Incluye: Mouse y Teclado</t>
  </si>
  <si>
    <t>Computador Dell Optiplex 3046                 Incluye: Mouse y Teclado</t>
  </si>
  <si>
    <t>Laptop Dell Latitude 5480                           Incluye: Cargador y Bulto</t>
  </si>
  <si>
    <t>DMR202G01H00-02-01542</t>
  </si>
  <si>
    <t>DMR202G01H00-02-01561</t>
  </si>
  <si>
    <t>DMR202G01H00-02-01557</t>
  </si>
  <si>
    <t>DMR202G01H00-02-01553</t>
  </si>
  <si>
    <t>DMR202G01H00-02-01545</t>
  </si>
  <si>
    <t>DMR202G01H00-02-01558</t>
  </si>
  <si>
    <t>DMR202G01H00-02-01544</t>
  </si>
  <si>
    <t>DMR202G01H00-02-01549</t>
  </si>
  <si>
    <t>DMR202G01H00-02-01551</t>
  </si>
  <si>
    <t>DMR202G01H00-02-01560</t>
  </si>
  <si>
    <t>DMR202G01H00-02-01550</t>
  </si>
  <si>
    <t>DMR202G01H00-02-01543</t>
  </si>
  <si>
    <t>DMR202G01H00-02-01548</t>
  </si>
  <si>
    <t>DMR202G01H00-02-01556</t>
  </si>
  <si>
    <t>DMR202G01H00-02-01552</t>
  </si>
  <si>
    <t>CPU: FV07ND2 / MONITOR: FJBTW82</t>
  </si>
  <si>
    <t>DMR202G01H00-02-01567</t>
  </si>
  <si>
    <t>DMR202G01H00-02-01570</t>
  </si>
  <si>
    <t>DMR202G01H00-02-01572</t>
  </si>
  <si>
    <t>DMR202G01H00-02-01563</t>
  </si>
  <si>
    <t>DMR202G01H00-02-01564</t>
  </si>
  <si>
    <t>DMR202G01H00-02-01580</t>
  </si>
  <si>
    <t>DMR202G01H00-02-01581</t>
  </si>
  <si>
    <t>DMR202G01H00-02-01578</t>
  </si>
  <si>
    <t>DMR202G01H00-02-01571</t>
  </si>
  <si>
    <t>DMR202G01H00-02-01562</t>
  </si>
  <si>
    <t>DMR202G01H00-02-01589</t>
  </si>
  <si>
    <t>DMR202G01H00-02-01590</t>
  </si>
  <si>
    <t>DMR202G01H00-02-01591</t>
  </si>
  <si>
    <t>DMR202G01H00-02-01588</t>
  </si>
  <si>
    <t>DMR202G01H00-02-01592</t>
  </si>
  <si>
    <t>DMR202G01H00-02-01593</t>
  </si>
  <si>
    <t>DMR202G01H00-02-01594</t>
  </si>
  <si>
    <t>DMR202G01H00-02-01595</t>
  </si>
  <si>
    <t>DMR202G01H00-02-01596</t>
  </si>
  <si>
    <t>DMR202G01H00-01-05192</t>
  </si>
  <si>
    <t>DMR202G01H00-02-01481</t>
  </si>
  <si>
    <t>DMR202G01H00-01-05193</t>
  </si>
  <si>
    <t>DMR202G01H00-01-05194</t>
  </si>
  <si>
    <t>DMR202G01H00-01-05195</t>
  </si>
  <si>
    <t>DMR202G01H00-01-05199</t>
  </si>
  <si>
    <t>DMR202G01H00-01-05200</t>
  </si>
  <si>
    <t>DMR202G01H00-01-05204</t>
  </si>
  <si>
    <t>DMR202G01H00-01-05201</t>
  </si>
  <si>
    <t>DMR202G01H00-01-05202</t>
  </si>
  <si>
    <t>DMR202G01H00-01-05206</t>
  </si>
  <si>
    <t>DMR202G01H00-01-05266</t>
  </si>
  <si>
    <t>DMR202G01H00-01-05267</t>
  </si>
  <si>
    <t>DMR202G01H00-01-05268</t>
  </si>
  <si>
    <t>DMR202G01H00-01-05269</t>
  </si>
  <si>
    <t>DMR202G01H00-01-05270</t>
  </si>
  <si>
    <t>DMR202G01H00-01-05218</t>
  </si>
  <si>
    <t>DMR202G01H00-01-05214</t>
  </si>
  <si>
    <t>DMR202G01H00-01-05287</t>
  </si>
  <si>
    <t>DMR202G01H00-01-05288</t>
  </si>
  <si>
    <t>DMR202G01H00-01-05242</t>
  </si>
  <si>
    <t>DMR202G01H00-01-05243</t>
  </si>
  <si>
    <t>DMR202G01H00-01-05244</t>
  </si>
  <si>
    <t>DMR202G01H00-01-05245</t>
  </si>
  <si>
    <t>DMR202G01H00-01-05223</t>
  </si>
  <si>
    <t>DMR202G01H00-01-05227</t>
  </si>
  <si>
    <t>DMR202G01H00-01-05228</t>
  </si>
  <si>
    <t>DMR202G01H00-01-05291</t>
  </si>
  <si>
    <t>DMR202G01H00-01-05290</t>
  </si>
  <si>
    <t>DMR202G01H00-02-01497</t>
  </si>
  <si>
    <t>DMR202G01H00-02-01498</t>
  </si>
  <si>
    <t>DMR202G01H00-02-01499</t>
  </si>
  <si>
    <t>DMR202G01H00-03-00035</t>
  </si>
  <si>
    <t>DMR202G01H00-03-00036</t>
  </si>
  <si>
    <t>DMR202G01H00-03-00037</t>
  </si>
  <si>
    <t>Jeepeta Hyundai Tucson 2015 / 2WD</t>
  </si>
  <si>
    <t>DMR202G01H00-02-01509</t>
  </si>
  <si>
    <t>DMR202G01H00-02-01510</t>
  </si>
  <si>
    <t>DMR202G01H00-03-00038</t>
  </si>
  <si>
    <t>DMR202G01H00-03-00039</t>
  </si>
  <si>
    <t>DMR202G01H00-03-00042</t>
  </si>
  <si>
    <t>DMR202G01H00-01-05324</t>
  </si>
  <si>
    <t>DMR202G01H00-01-05295</t>
  </si>
  <si>
    <t>DMR202G01H00-01-05294</t>
  </si>
  <si>
    <t>DMR202G01H00-01-05205</t>
  </si>
  <si>
    <t>DMR202G01H00-01-05213</t>
  </si>
  <si>
    <t>DMR202G01H00-01-05208</t>
  </si>
  <si>
    <t>DMR202G01H00-01-05274</t>
  </si>
  <si>
    <t>DMR202G01H00-01-05275</t>
  </si>
  <si>
    <t>DMR202G01H00-01-05276</t>
  </si>
  <si>
    <t>DMR202G01H00-01-05277</t>
  </si>
  <si>
    <t>DMR202G01H00-01-05283</t>
  </si>
  <si>
    <t>DMR202G01H00-01-05264</t>
  </si>
  <si>
    <t>DMR202G01H00-01-05221</t>
  </si>
  <si>
    <t>DMR202G01H00-01-05216</t>
  </si>
  <si>
    <t>DMR202G01H00-01-05289</t>
  </si>
  <si>
    <t>DMR202G01H00-01-05286</t>
  </si>
  <si>
    <t>DMR202G01H00-01-05249</t>
  </si>
  <si>
    <t>DMR202G01H00-01-05250</t>
  </si>
  <si>
    <t>DMR202G01H00-01-05251</t>
  </si>
  <si>
    <t>DMR202G01H00-01-05252</t>
  </si>
  <si>
    <t>DMR202G01H00-01-05253</t>
  </si>
  <si>
    <t>DMR202G01H00-01-05254</t>
  </si>
  <si>
    <t>DMR202G01H00-01-05255</t>
  </si>
  <si>
    <t>DMR202G01H00-01-05256</t>
  </si>
  <si>
    <t>DMR202G01H00-01-05224</t>
  </si>
  <si>
    <t>DMR202G01H00-01-05230</t>
  </si>
  <si>
    <t>DMR202G01H00-02-01493</t>
  </si>
  <si>
    <t>DMR202G01H00-02-01494</t>
  </si>
  <si>
    <t>DMR202G01H00-02-01503</t>
  </si>
  <si>
    <t>DMR202G01H00-02-01504</t>
  </si>
  <si>
    <t>DMR202G01H00-02-01505</t>
  </si>
  <si>
    <t>DMR202G01H00-02-01513</t>
  </si>
  <si>
    <t>DMR202G01H00-02-01514</t>
  </si>
  <si>
    <t>DMR202G01H00-02-01515</t>
  </si>
  <si>
    <t>DMR202G01H00-02-01477</t>
  </si>
  <si>
    <t>DMR202G01H00-01-05161</t>
  </si>
  <si>
    <t>DMR202G01H00-01-05162</t>
  </si>
  <si>
    <t>DMR202G01H00-01-05163</t>
  </si>
  <si>
    <t>DMR202G01H00-01-05164</t>
  </si>
  <si>
    <t>DMR202G01H00-01-05165</t>
  </si>
  <si>
    <t>DMR202G01H00-01-05166</t>
  </si>
  <si>
    <t>DMR202G01H00-01-05167</t>
  </si>
  <si>
    <t>DMR202G01H00-01-05168</t>
  </si>
  <si>
    <t>DMR202G01H00-01-05169</t>
  </si>
  <si>
    <t>DMR202G01H00-01-05170</t>
  </si>
  <si>
    <t>DMR202G01H00-01-05173</t>
  </si>
  <si>
    <t>DMR202G01H00-01-05174</t>
  </si>
  <si>
    <t>DMR202G01H00-01-05175</t>
  </si>
  <si>
    <t>DMR202G01H00-01-05176</t>
  </si>
  <si>
    <t>DMR202G01H00-01-05177</t>
  </si>
  <si>
    <t>DMR202G01H00-01-05178</t>
  </si>
  <si>
    <t>DMR202G01H00-01-05179</t>
  </si>
  <si>
    <t>DMR202G01H00-01-05183</t>
  </si>
  <si>
    <t>DMR202G01H00-01-05184</t>
  </si>
  <si>
    <t>DMR202G01H00-01-05185</t>
  </si>
  <si>
    <t>DMR202G01H00-01-05186</t>
  </si>
  <si>
    <t>DMR202G01H00-01-05136</t>
  </si>
  <si>
    <t>DMR202G01H00-01-05133</t>
  </si>
  <si>
    <t>DMR202G01H00-01-05134</t>
  </si>
  <si>
    <t>DMR202G01H00-01-05135</t>
  </si>
  <si>
    <t>DMR202G01H00-02-01277</t>
  </si>
  <si>
    <t>DMR202G01H00-02-01278</t>
  </si>
  <si>
    <t>DMR202G01H00-02-01279</t>
  </si>
  <si>
    <t>DMR202G01H00-02-01280</t>
  </si>
  <si>
    <t>DMR202G01H00-02-01281</t>
  </si>
  <si>
    <t>DMR202G01H00-02-01282</t>
  </si>
  <si>
    <t>DMR202G01H00-02-01273</t>
  </si>
  <si>
    <t>DMR202G01H00-02-01274</t>
  </si>
  <si>
    <t>DMR202G01H00-02-01276</t>
  </si>
  <si>
    <t>DMR202G01H00-02-01263</t>
  </si>
  <si>
    <t>DMR202G01H00-02-01269</t>
  </si>
  <si>
    <t>DMR202G01H00-02-01270</t>
  </si>
  <si>
    <t>DMR202G01H00-02-01261</t>
  </si>
  <si>
    <t>DMR202G01H00-02-01410</t>
  </si>
  <si>
    <t>DMR202G01H00-02-01411</t>
  </si>
  <si>
    <t>DMR202G01H00-02-01414</t>
  </si>
  <si>
    <t>DMR202G01H00-02-01416</t>
  </si>
  <si>
    <t>F6CLKX1 / MONITOR: CN-00H3PD-7287207M-0HJS</t>
  </si>
  <si>
    <t>Laptop Dell Latitude E5530. Incluye: Monitor, Bultos en Piel o Nylon.</t>
  </si>
  <si>
    <t>DMR202G01H00-02-01417</t>
  </si>
  <si>
    <t>DMR202G01H00-02-01370</t>
  </si>
  <si>
    <t>DMR202G01H00-02-01372</t>
  </si>
  <si>
    <t>DMR202G01H00-02-01373</t>
  </si>
  <si>
    <t>DMR202G01H00-02-01374</t>
  </si>
  <si>
    <t>DMR202G01H00-02-01375</t>
  </si>
  <si>
    <t>DMR202G01H00-02-01378</t>
  </si>
  <si>
    <t>DMR202G01H00-02-01379</t>
  </si>
  <si>
    <t>DMR202G01H00-02-01380</t>
  </si>
  <si>
    <t>DMR202G01H00-02-01381</t>
  </si>
  <si>
    <t>DMR202G01H00-02-01382</t>
  </si>
  <si>
    <t>DMR202G01H00-02-01383</t>
  </si>
  <si>
    <t>DMR202G01H00-02-01384</t>
  </si>
  <si>
    <t>DMR202G01H00-02-01385</t>
  </si>
  <si>
    <t>DMR202G01H00-02-01386</t>
  </si>
  <si>
    <t>DMR202G01H00-02-01387</t>
  </si>
  <si>
    <t>DMR202G01H00-02-01389</t>
  </si>
  <si>
    <t>DMR202G01H00-02-01390</t>
  </si>
  <si>
    <t>DMR202G01H00-02-01391</t>
  </si>
  <si>
    <t>DMR202G01H00-02-01392</t>
  </si>
  <si>
    <t>DMR202G01H00-02-01393</t>
  </si>
  <si>
    <t>DMR202G01H00-02-01394</t>
  </si>
  <si>
    <t>DMR202G01H00-02-01396</t>
  </si>
  <si>
    <t>DMR202G01H00-02-01397</t>
  </si>
  <si>
    <t>DMR202G01H00-02-01398</t>
  </si>
  <si>
    <t>DMR202G01H00-02-01399</t>
  </si>
  <si>
    <t>DMR202G01H00-02-01400</t>
  </si>
  <si>
    <t>DMR202G01H00-02-01401</t>
  </si>
  <si>
    <t>DMR202G01H00-02-01402</t>
  </si>
  <si>
    <t>DMR202G01H00-02-01403</t>
  </si>
  <si>
    <t>DMR202G01H00-02-01404</t>
  </si>
  <si>
    <t>DMR202G01H00-02-01405</t>
  </si>
  <si>
    <t>DMR202G01H00-02-01406</t>
  </si>
  <si>
    <t>DMR202G01H00-02-01407</t>
  </si>
  <si>
    <t>DMR202G01H00-02-01408</t>
  </si>
  <si>
    <t>DMR202G01H00-02-01409</t>
  </si>
  <si>
    <t>DMR202G01H00-01-05059</t>
  </si>
  <si>
    <t>DMR202G01H00-04-00102</t>
  </si>
  <si>
    <t>DMR202G01H00-04-00103</t>
  </si>
  <si>
    <t>DMR202G01H00-04-00104</t>
  </si>
  <si>
    <t>DMR202G01H00-04-00105</t>
  </si>
  <si>
    <t>DMR202G01H00-02-01237</t>
  </si>
  <si>
    <t>DMR202G01H00-02-01238</t>
  </si>
  <si>
    <t>DMR202G01H00-02-01239</t>
  </si>
  <si>
    <t>DMR202G01H00-02-01240</t>
  </si>
  <si>
    <t>DMR202G01H00-02-01242</t>
  </si>
  <si>
    <t>DMR202G01H00-02-01243</t>
  </si>
  <si>
    <t>DMR202G01H00-02-01244</t>
  </si>
  <si>
    <t>DMR202G01H00-02-01245</t>
  </si>
  <si>
    <t>DMR202G01H00-01-05026</t>
  </si>
  <si>
    <t>DMR202G01H00-01-05027</t>
  </si>
  <si>
    <t>DMR202G01H00-01-05028</t>
  </si>
  <si>
    <t>DMR202G01H00-01-05029</t>
  </si>
  <si>
    <t>DMR202G01H00-01-05030</t>
  </si>
  <si>
    <t>DMR202G01H00-01-05031</t>
  </si>
  <si>
    <t>DMR202G01H00-01-04992</t>
  </si>
  <si>
    <t>DMR202G01H00-01-05132</t>
  </si>
  <si>
    <t>DMR202G01H00-01-05123</t>
  </si>
  <si>
    <t>DMR202G01H00-01-05126</t>
  </si>
  <si>
    <t>DMR202G01H00-01-05127</t>
  </si>
  <si>
    <t>DMR202G01H00-01-05128</t>
  </si>
  <si>
    <t>DMR202G01H00-05-01736</t>
  </si>
  <si>
    <t>DMR202G01H00-02-01260</t>
  </si>
  <si>
    <t>DMR202G01H00-02-01015</t>
  </si>
  <si>
    <t>DMR202G01H00-02-01236</t>
  </si>
  <si>
    <t>DMR202G01H00-02-01218</t>
  </si>
  <si>
    <t>DMR202G01H00-02-01365</t>
  </si>
  <si>
    <t>DMR202G01H00-01-01611</t>
  </si>
  <si>
    <t>DMR202G01H00-01-01616</t>
  </si>
  <si>
    <t>DMR202G01H00-01-01617</t>
  </si>
  <si>
    <t>DMR202G01H00-01-01618</t>
  </si>
  <si>
    <t>DMR202G01H00-01-04571</t>
  </si>
  <si>
    <t>DMR202G01H00-01-04572</t>
  </si>
  <si>
    <t>DMR202G01H00-01-04563</t>
  </si>
  <si>
    <t>DMR202G01H00-01-05001</t>
  </si>
  <si>
    <t>DMR202G01H00-01-05002</t>
  </si>
  <si>
    <t>DMR202G01H00-01-04561</t>
  </si>
  <si>
    <t>DMR202G01H00-01-04564</t>
  </si>
  <si>
    <t>DMR202G01H00-02-00966</t>
  </si>
  <si>
    <t>DMR202G01H00-02-01133</t>
  </si>
  <si>
    <t>DMR202G01H00-02-01125</t>
  </si>
  <si>
    <t>DMR202G01H00-01-03947</t>
  </si>
  <si>
    <t>DMR202G01H00-01-03950</t>
  </si>
  <si>
    <t>DMR202G01H00-01-03974</t>
  </si>
  <si>
    <t>DMR202G01H00-01-03951</t>
  </si>
  <si>
    <t>DMR202G01H00-01-03952</t>
  </si>
  <si>
    <t>DMR202G01H00-01-03960</t>
  </si>
  <si>
    <t>DMR202G01H00-03-00023</t>
  </si>
  <si>
    <t>DMR202G01H00-03-00020</t>
  </si>
  <si>
    <t>DMR202G01H00-03-00021</t>
  </si>
  <si>
    <t>DMR202G01H00-01-03970</t>
  </si>
  <si>
    <t>DMR202G01H00-01-03971</t>
  </si>
  <si>
    <t>DMR202G01H00-01-03972</t>
  </si>
  <si>
    <t>DMR202G01H00-01-03973</t>
  </si>
  <si>
    <t>DMR202G01H00-01-03975</t>
  </si>
  <si>
    <t>DMR202G01H00-01-03976</t>
  </si>
  <si>
    <t>DMR202G01H00-01-04688</t>
  </si>
  <si>
    <t>DMR202G01H00-01-04689</t>
  </si>
  <si>
    <t>DMR202G01H00-05-01697</t>
  </si>
  <si>
    <t>DMR202G01H00-05-01698</t>
  </si>
  <si>
    <t>DMR202G01H00-05-01704</t>
  </si>
  <si>
    <t>DMR202G01H00-05-01705</t>
  </si>
  <si>
    <t>DMR202G01H00-05-01706</t>
  </si>
  <si>
    <t>DMR202G01H00-05-01707</t>
  </si>
  <si>
    <t>DMR202G01H00-05-01703</t>
  </si>
  <si>
    <t>DMR202G01H00-05-01699</t>
  </si>
  <si>
    <t>DMR202G01H00-05-01700</t>
  </si>
  <si>
    <t>DMR202G01H00-01-04603</t>
  </si>
  <si>
    <t>DMR202G01H00-01-04604</t>
  </si>
  <si>
    <t>DMR202G01H00-01-04605</t>
  </si>
  <si>
    <t>DMR202G01H00-01-04609</t>
  </si>
  <si>
    <t>DMR202G01H00-01-04610</t>
  </si>
  <si>
    <t>DMR202G01H00-01-04599</t>
  </si>
  <si>
    <t>DMR202G01H00-01-04600</t>
  </si>
  <si>
    <t>DMR202G01H00-01-04601</t>
  </si>
  <si>
    <t>DMR202G01H00-01-04611</t>
  </si>
  <si>
    <t>DMR202G01H00-01-04612</t>
  </si>
  <si>
    <t>DMR202G01H00-01-04597</t>
  </si>
  <si>
    <t>DMR202G01H00-01-04613</t>
  </si>
  <si>
    <t>DMR202G01H00-01-04632</t>
  </si>
  <si>
    <t>DMR202G01H00-01-04595</t>
  </si>
  <si>
    <t>DMR202G01H00-01-04596</t>
  </si>
  <si>
    <t>DMR202G01H00-05-01541</t>
  </si>
  <si>
    <t>DMR202G01H00-01-03934</t>
  </si>
  <si>
    <t>DMR202G01H00-01-03935</t>
  </si>
  <si>
    <t>DMR202G01H00-01-03936</t>
  </si>
  <si>
    <t>DMR202G01H00-01-03937</t>
  </si>
  <si>
    <t>DMR202G01H00-01-03938</t>
  </si>
  <si>
    <t>DMR202G01H00-01-03939</t>
  </si>
  <si>
    <t>DMR202G01H00-01-03940</t>
  </si>
  <si>
    <t>DMR202G01H00-01-03933</t>
  </si>
  <si>
    <t>DMR202G01H00-01-03932</t>
  </si>
  <si>
    <t>DMR202G01H00-05-01524</t>
  </si>
  <si>
    <t xml:space="preserve">Set de Diagnostico de Pared   </t>
  </si>
  <si>
    <t>DMR202G01H00-05-01527</t>
  </si>
  <si>
    <t>DMR202G01H00-05-01528</t>
  </si>
  <si>
    <t>DMR202G01H00-05-01517</t>
  </si>
  <si>
    <t>DMR202G01H00-05-01518</t>
  </si>
  <si>
    <t>DMR202G01H00-05-01519</t>
  </si>
  <si>
    <t>DMR202G01H00-05-01510</t>
  </si>
  <si>
    <t>DMR202G01H00-05-01511</t>
  </si>
  <si>
    <t>DMR202G01H00-05-01514</t>
  </si>
  <si>
    <t>DMR202G01H00-05-01513</t>
  </si>
  <si>
    <t>DMR202G01H00-05-01515</t>
  </si>
  <si>
    <t>DMR202G01H00-05-01512</t>
  </si>
  <si>
    <t>DMR202G01H00-05-01516</t>
  </si>
  <si>
    <t>DMR202G01H00-05-01503</t>
  </si>
  <si>
    <t>DMR202G01H00-05-01502</t>
  </si>
  <si>
    <t>DMR202G01H00-05-01500</t>
  </si>
  <si>
    <t>DMR202G01H00-05-01501</t>
  </si>
  <si>
    <t>DMR202G01H00-05-01505</t>
  </si>
  <si>
    <t>DMR202G01H00-05-01506</t>
  </si>
  <si>
    <t>DMR202G01H00-05-01507</t>
  </si>
  <si>
    <t xml:space="preserve">Micro Centrifuga, Marca: UNICO, Mod. CMH30 </t>
  </si>
  <si>
    <t>Microscopio Binocular, Marca: UNICO, Mod. M250</t>
  </si>
  <si>
    <t>DMR202G01H00-05-01508</t>
  </si>
  <si>
    <t>DMR202G01H00-05-01509</t>
  </si>
  <si>
    <t xml:space="preserve">MOD. 80-2B  </t>
  </si>
  <si>
    <t xml:space="preserve">Balanza Pediátrica, Cap. 44 Libras     </t>
  </si>
  <si>
    <t xml:space="preserve">Analizador Espectrofotométrico, Marca: Rayto. Mod. RT9200 </t>
  </si>
  <si>
    <t>DMR202G01H00-05-01649</t>
  </si>
  <si>
    <t>DMR202G01H00-05-01650</t>
  </si>
  <si>
    <t>DMR202G01H00-05-01665</t>
  </si>
  <si>
    <t>DMR202G01H00-05-01666</t>
  </si>
  <si>
    <t>DMR202G01H00-05-01669</t>
  </si>
  <si>
    <t>DMR202G01H00-05-01670</t>
  </si>
  <si>
    <t>DMR202G01H00-05-01671</t>
  </si>
  <si>
    <t>DMR202G01H00-05-01661</t>
  </si>
  <si>
    <t>DMR202G01H00-05-01662</t>
  </si>
  <si>
    <t>DMR202G01H00-05-01653</t>
  </si>
  <si>
    <t>DMR202G01H00-05-01654</t>
  </si>
  <si>
    <t>DMR202G01H00-01-04489</t>
  </si>
  <si>
    <t>DMR202G01H00-01-04499</t>
  </si>
  <si>
    <t>DMR202G01H00-01-04490</t>
  </si>
  <si>
    <t>DMR202G01H00-01-04491</t>
  </si>
  <si>
    <t>DMR202G01H00-01-04500</t>
  </si>
  <si>
    <t>DMR202G01H00-01-04494</t>
  </si>
  <si>
    <t>DMR202G01H00-01-04495</t>
  </si>
  <si>
    <t>DMR202G01H00-01-04496</t>
  </si>
  <si>
    <t>DMR202G01H00-01-04525</t>
  </si>
  <si>
    <t>DMR202G01H00-01-04526</t>
  </si>
  <si>
    <t>DMR202G01H00-01-04527</t>
  </si>
  <si>
    <t>DMR202G01H00-01-04507</t>
  </si>
  <si>
    <t>DMR202G01H00-01-04508</t>
  </si>
  <si>
    <t>DMR202G01H00-01-04509</t>
  </si>
  <si>
    <t>DMR202G01H00-01-04511</t>
  </si>
  <si>
    <t>DMR202G01H00-01-04512</t>
  </si>
  <si>
    <t>DMR202G01H00-01-04505</t>
  </si>
  <si>
    <t>DMR202G01H00-05-01223</t>
  </si>
  <si>
    <t>DMR202G01H00-05-01532</t>
  </si>
  <si>
    <t>DMR202G01H00-05-01533</t>
  </si>
  <si>
    <t>DMR202G01H00-02-01135</t>
  </si>
  <si>
    <t>DMR202G01H00-01-04028</t>
  </si>
  <si>
    <t>DMR202G01H00-01-04029</t>
  </si>
  <si>
    <t>DMR202G01H00-01-04696</t>
  </si>
  <si>
    <t>DMR202G01H00-01-04697</t>
  </si>
  <si>
    <t>DMR202G01H00-05-01529</t>
  </si>
  <si>
    <t>DMR202G01H00-05-01538</t>
  </si>
  <si>
    <t>DMR202G01H00-05-01539</t>
  </si>
  <si>
    <t>DMR202G01H00-02-00941</t>
  </si>
  <si>
    <t>DMR202G01H00-01-04954</t>
  </si>
  <si>
    <t>DMR202G01H00-01-03883</t>
  </si>
  <si>
    <t>DMR202G01H00-01-03733</t>
  </si>
  <si>
    <t>DMR202G01H00-01-04710</t>
  </si>
  <si>
    <t>DMR202G01H00-01-04733</t>
  </si>
  <si>
    <t>DMR202G01H00-01-04734</t>
  </si>
  <si>
    <t>DMR202G01H00-01-04735</t>
  </si>
  <si>
    <t>DMR202G01H00-01-04736</t>
  </si>
  <si>
    <t>DMR202G01H00-01-04737</t>
  </si>
  <si>
    <t>DMR202G01H00-01-04758</t>
  </si>
  <si>
    <t>DMR202G01H00-01-04759</t>
  </si>
  <si>
    <t>DMR202G01H00-01-04760</t>
  </si>
  <si>
    <t>DMR202G01H00-01-04761</t>
  </si>
  <si>
    <t>DMR202G01H00-01-04762</t>
  </si>
  <si>
    <t>DMR202G01H00-01-04763</t>
  </si>
  <si>
    <t>DMR202G01H00-01-04764</t>
  </si>
  <si>
    <t>DMR202G01H00-01-04765</t>
  </si>
  <si>
    <t>DMR202G01H00-01-04766</t>
  </si>
  <si>
    <t>DMR202G01H00-01-04767</t>
  </si>
  <si>
    <t>DMR202G01H00-01-04768</t>
  </si>
  <si>
    <t>DMR202G01H00-01-04769</t>
  </si>
  <si>
    <t>DMR202G01H00-01-04770</t>
  </si>
  <si>
    <t>DMR202G01H00-01-04771</t>
  </si>
  <si>
    <t>DMR202G01H00-01-04772</t>
  </si>
  <si>
    <t>DMR202G01H00-01-04817</t>
  </si>
  <si>
    <t>DMR202G01H00-01-04823</t>
  </si>
  <si>
    <t>DMR202G01H00-01-04824</t>
  </si>
  <si>
    <t>DMR202G01H00-01-04827</t>
  </si>
  <si>
    <t>DMR202G01H00-01-04886</t>
  </si>
  <si>
    <t>DMR202G01H00-01-04889</t>
  </si>
  <si>
    <t>DMR202G01H00-01-04890</t>
  </si>
  <si>
    <t>DMR202G01H00-01-04891</t>
  </si>
  <si>
    <t>DMR202G01H00-01-04892</t>
  </si>
  <si>
    <t>DMR202G01H00-02-01147</t>
  </si>
  <si>
    <t>DMR202G01H00-02-00774</t>
  </si>
  <si>
    <t>DMR202G01H00-02-00778</t>
  </si>
  <si>
    <t>DMR202G01H00-02-01054</t>
  </si>
  <si>
    <t>DMR202G01H00-02-01142</t>
  </si>
  <si>
    <t>DMR202G01H00-01-04906</t>
  </si>
  <si>
    <t>DMR202G01H00-01-04909</t>
  </si>
  <si>
    <t>DMR202G01H00-01-04910</t>
  </si>
  <si>
    <t>DMR202G01H00-01-04911</t>
  </si>
  <si>
    <t>DMR202G01H00-01-04912</t>
  </si>
  <si>
    <t>DMR202G01H00-01-04913</t>
  </si>
  <si>
    <t>DMR202G01H00-01-04914</t>
  </si>
  <si>
    <t>DMR202G01H00-01-04915</t>
  </si>
  <si>
    <t>DMR202G01H00-01-04916</t>
  </si>
  <si>
    <t>DMR202G01H00-01-04925</t>
  </si>
  <si>
    <t>DMR202G01H00-01-04926</t>
  </si>
  <si>
    <t>DMR202G01H00-01-04927</t>
  </si>
  <si>
    <t>DMR202G01H00-01-04928</t>
  </si>
  <si>
    <t>DMR202G01H00-01-04929</t>
  </si>
  <si>
    <t>DMR202G01H00-01-04930</t>
  </si>
  <si>
    <t>DMR202G01H00-01-04931</t>
  </si>
  <si>
    <t>DMR202G01H00-01-04932</t>
  </si>
  <si>
    <t>DMR202G01H00-02-01255</t>
  </si>
  <si>
    <t>DMR202G01H00-02-01082</t>
  </si>
  <si>
    <t>DMR202G01H00-02-01081</t>
  </si>
  <si>
    <t>DMR202G01H00-04-00075</t>
  </si>
  <si>
    <t>DMR202G01H00-04-00076</t>
  </si>
  <si>
    <t>DMR202G01H00-04-00077</t>
  </si>
  <si>
    <t>DMR202G01H00-04-00078</t>
  </si>
  <si>
    <t>DMR202G01H00-01-03536</t>
  </si>
  <si>
    <t>DMR202G01H00-01-03544</t>
  </si>
  <si>
    <t>DMR202G01H00-05-01493</t>
  </si>
  <si>
    <t>DMR202G01H00-05-01497</t>
  </si>
  <si>
    <t>DMR202G01H00-05-01498</t>
  </si>
  <si>
    <t>DMR202G01H00-05-01492</t>
  </si>
  <si>
    <t>DMR202G01H00-01-03905</t>
  </si>
  <si>
    <t>DMR202G01H00-01-03906</t>
  </si>
  <si>
    <t>DMR202G01H00-01-03907</t>
  </si>
  <si>
    <t>DMR202G01H00-01-03904</t>
  </si>
  <si>
    <t>DMR202G01H00-01-03909</t>
  </si>
  <si>
    <t>DMR202G01H00-01-03910</t>
  </si>
  <si>
    <t>DMR202G01H00-01-03911</t>
  </si>
  <si>
    <t>DMR202G01H00-01-03912</t>
  </si>
  <si>
    <t>DMR202G01H00-01-03913</t>
  </si>
  <si>
    <t>DMR202G01H00-01-03914</t>
  </si>
  <si>
    <t>DMR202G01H00-01-03915</t>
  </si>
  <si>
    <t>DMR202G01H00-01-03916</t>
  </si>
  <si>
    <t>DMR202G01H00-01-03917</t>
  </si>
  <si>
    <t>DMR202G01H00-01-03918</t>
  </si>
  <si>
    <t>DMR202G01H00-01-03919</t>
  </si>
  <si>
    <t>DMR202G01H00-01-03920</t>
  </si>
  <si>
    <t>DMR202G01H00-01-03921</t>
  </si>
  <si>
    <t>DMR202G01H00-01-03908</t>
  </si>
  <si>
    <t>DMR202G01H00-01-03898</t>
  </si>
  <si>
    <t>DMR202G01H00-01-03930</t>
  </si>
  <si>
    <t>DMR202G01H00-01-03900</t>
  </si>
  <si>
    <t>DMR202G01H00-01-03901</t>
  </si>
  <si>
    <t>DMR202G01H00-01-03766</t>
  </si>
  <si>
    <t>DMR202G01H00-01-03767</t>
  </si>
  <si>
    <t>DMR202G01H00-01-03768</t>
  </si>
  <si>
    <t>DMR202G01H00-01-03756</t>
  </si>
  <si>
    <t>DMR202G01H00-01-03757</t>
  </si>
  <si>
    <t>DMR202G01H00-01-03758</t>
  </si>
  <si>
    <t>DMR202G01H00-01-03773</t>
  </si>
  <si>
    <t>DMR202G01H00-01-03774</t>
  </si>
  <si>
    <t>DMR202G01H00-01-03771</t>
  </si>
  <si>
    <t>DMR202G01H00-01-03772</t>
  </si>
  <si>
    <t>DMR202G01H00-01-03728</t>
  </si>
  <si>
    <t>DMR202G01H00-01-03729</t>
  </si>
  <si>
    <t>DMR202G01H00-01-03730</t>
  </si>
  <si>
    <t>DMR202G01H00-01-03761</t>
  </si>
  <si>
    <t>DMR202G01H00-01-03762</t>
  </si>
  <si>
    <t>DMR202G01H00-01-03763</t>
  </si>
  <si>
    <t>DMR202G01H00-01-03764</t>
  </si>
  <si>
    <t>DMR202G01H00-01-03765</t>
  </si>
  <si>
    <t>DMR202G01H00-01-03731</t>
  </si>
  <si>
    <t>DMR202G01H00-01-03732</t>
  </si>
  <si>
    <t>DMR202G01H00-01-03734</t>
  </si>
  <si>
    <t>DMR202G01H00-01-03735</t>
  </si>
  <si>
    <t>DMR202G01H00-01-03736</t>
  </si>
  <si>
    <t>DMR202G01H00-01-03753</t>
  </si>
  <si>
    <t>DMR202G01H00-01-03754</t>
  </si>
  <si>
    <t>DMR202G01H00-01-03755</t>
  </si>
  <si>
    <t>DMR202G01H00-01-03769</t>
  </si>
  <si>
    <t>DMR202G01H00-01-03770</t>
  </si>
  <si>
    <t>DMR202G01H00-01-03748</t>
  </si>
  <si>
    <t>DMR202G01H00-01-03749</t>
  </si>
  <si>
    <t>DMR202G01H00-01-03750</t>
  </si>
  <si>
    <t>DMR202G01H00-01-03745</t>
  </si>
  <si>
    <t>DMR202G01H00-01-03746</t>
  </si>
  <si>
    <t>DMR202G01H00-01-03747</t>
  </si>
  <si>
    <t>DMR202G01H00-01-03752</t>
  </si>
  <si>
    <t>DMR202G01H00-02-00755</t>
  </si>
  <si>
    <t>DMR202G01H00-05-01465</t>
  </si>
  <si>
    <t>DMR202G01H00-05-01466</t>
  </si>
  <si>
    <t>DMR202G01H00-05-01462</t>
  </si>
  <si>
    <t>DMR202G01H00-05-01463</t>
  </si>
  <si>
    <t>DMR202G01H00-05-01464</t>
  </si>
  <si>
    <t>DMR202G01H00-05-01468</t>
  </si>
  <si>
    <t>DMR202G01H00-05-01469</t>
  </si>
  <si>
    <t>DMR202G01H00-05-01470</t>
  </si>
  <si>
    <t>DMR202G01H00-05-01486</t>
  </si>
  <si>
    <t>DMR202G01H00-05-01487</t>
  </si>
  <si>
    <t>DMR202G01H00-05-01488</t>
  </si>
  <si>
    <t>DMR202G01H00-05-01480</t>
  </si>
  <si>
    <t>DMR202G01H00-05-01483</t>
  </si>
  <si>
    <t>DMR202G01H00-05-01484</t>
  </si>
  <si>
    <t>DMR202G01H00-01-04316</t>
  </si>
  <si>
    <t>DMR202G01H00-01-04317</t>
  </si>
  <si>
    <t>DMR202G01H00-01-04318</t>
  </si>
  <si>
    <t>DMR202G01H00-01-04319</t>
  </si>
  <si>
    <t>DMR202G01H00-01-04320</t>
  </si>
  <si>
    <t>DMR202G01H00-01-04321</t>
  </si>
  <si>
    <t>DMR202G01H00-01-04342</t>
  </si>
  <si>
    <t>DMR202G01H00-01-04338</t>
  </si>
  <si>
    <t>DMR202G01H00-01-04336</t>
  </si>
  <si>
    <t>DMR202G01H00-01-04337</t>
  </si>
  <si>
    <t>DMR202G01H00-01-04314</t>
  </si>
  <si>
    <t>DMR202G01H00-01-04315</t>
  </si>
  <si>
    <t>DMR202G01H00-05-01613</t>
  </si>
  <si>
    <t>DMR202G01H00-05-01614</t>
  </si>
  <si>
    <t>DMR202G01H00-05-01615</t>
  </si>
  <si>
    <t>DMR202G01H00-05-01616</t>
  </si>
  <si>
    <t>DMR202G01H00-05-01617</t>
  </si>
  <si>
    <t>DMR202G01H00-05-01618</t>
  </si>
  <si>
    <t>DMR202G01H00-05-01619</t>
  </si>
  <si>
    <t>DMR202G01H00-05-01620</t>
  </si>
  <si>
    <t>DMR202G01H00-05-01621</t>
  </si>
  <si>
    <t>DMR202G01H00-05-01625</t>
  </si>
  <si>
    <t>DMR202G01H00-05-01626</t>
  </si>
  <si>
    <t>DMR202G01H00-05-01633</t>
  </si>
  <si>
    <t>DMR202G01H00-05-01634</t>
  </si>
  <si>
    <t>DMR202G01H00-05-01622</t>
  </si>
  <si>
    <t>DMR202G01H00-05-01687</t>
  </si>
  <si>
    <t>DMR202G01H00-05-01233</t>
  </si>
  <si>
    <t>DMR202G01H00-05-00981</t>
  </si>
  <si>
    <t>DMR202G01H00-05-00982</t>
  </si>
  <si>
    <t>DMR202G01H00-05-01228</t>
  </si>
  <si>
    <t>DMR202G01H00-01-03534</t>
  </si>
  <si>
    <t>DMR202G01H00-01-03537</t>
  </si>
  <si>
    <t>DMR202G01H00-01-03541</t>
  </si>
  <si>
    <t>DMR202G01H00-01-03543</t>
  </si>
  <si>
    <t>DMR202G01H00-01-04377</t>
  </si>
  <si>
    <t>DMR202G01H00-01-04378</t>
  </si>
  <si>
    <t>DMR202G01H00-01-04372</t>
  </si>
  <si>
    <t>DMR202G01H00-01-04373</t>
  </si>
  <si>
    <t>DMR202G01H00-01-04374</t>
  </si>
  <si>
    <t>DMR202G01H00-01-04387</t>
  </si>
  <si>
    <t>DMR202G01H00-01-04380</t>
  </si>
  <si>
    <t>DMR202G01H00-01-04388</t>
  </si>
  <si>
    <t>DMR202G01H00-01-04384</t>
  </si>
  <si>
    <t>DMR202G01H00-01-04381</t>
  </si>
  <si>
    <t>DMR202G01H00-01-04382</t>
  </si>
  <si>
    <t>DMR202G01H00-01-04383</t>
  </si>
  <si>
    <t>DMR202G01H00-01-04385</t>
  </si>
  <si>
    <t>DMR202G01H00-01-04386</t>
  </si>
  <si>
    <t>DMR202G01H00-05-01636</t>
  </si>
  <si>
    <t>DMR202G01H00-05-01635</t>
  </si>
  <si>
    <t>DMR202G01H00-01-04399</t>
  </si>
  <si>
    <t>DMR202G01H00-01-04398</t>
  </si>
  <si>
    <t>DMR202G01H00-01-04401</t>
  </si>
  <si>
    <t>DMR202G01H00-01-04402</t>
  </si>
  <si>
    <t>DMR202G01H00-01-04403</t>
  </si>
  <si>
    <t>DMR202G01H00-01-04404</t>
  </si>
  <si>
    <t>DMR202G01H00-01-04405</t>
  </si>
  <si>
    <t>DMR202G01H00-01-04406</t>
  </si>
  <si>
    <t>DMR202G01H00-01-04407</t>
  </si>
  <si>
    <t>DMR202G01H00-01-04408</t>
  </si>
  <si>
    <t>DMR202G01H00-01-04409</t>
  </si>
  <si>
    <t>DMR202G01H00-01-04410</t>
  </si>
  <si>
    <t>DMR202G01H00-01-04414</t>
  </si>
  <si>
    <t>DMR202G01H00-01-04413</t>
  </si>
  <si>
    <t>DMR202G01H00-01-04415</t>
  </si>
  <si>
    <t>DMR202G01H00-01-04416</t>
  </si>
  <si>
    <t>DMR202G01H00-01-04417</t>
  </si>
  <si>
    <t>DMR202G01H00-01-04418</t>
  </si>
  <si>
    <t>DMR202G01H00-01-04419</t>
  </si>
  <si>
    <t>DMR202G01H00-01-04420</t>
  </si>
  <si>
    <t>DMR202G01H00-01-04421</t>
  </si>
  <si>
    <t>DMR202G01H00-01-04641</t>
  </si>
  <si>
    <t>DMR202G01H00-01-04642</t>
  </si>
  <si>
    <t>DMR202G01H00-05-01718</t>
  </si>
  <si>
    <t>DMR202G01H00-05-01716</t>
  </si>
  <si>
    <t>DMR202G01H00-05-01719</t>
  </si>
  <si>
    <t>DMR202G01H00-01-04390</t>
  </si>
  <si>
    <t>DMR202G01H00-01-04389</t>
  </si>
  <si>
    <t>DMR202G01H00-01-04391</t>
  </si>
  <si>
    <t>DMR202G01H00-01-04392</t>
  </si>
  <si>
    <t>DMR202G01H00-01-04393</t>
  </si>
  <si>
    <t>DMR202G01H00-01-04394</t>
  </si>
  <si>
    <t>DMR202G01H00-01-04395</t>
  </si>
  <si>
    <t>DMR202G01H00-01-04396</t>
  </si>
  <si>
    <t>DMR202G01H00-01-04397</t>
  </si>
  <si>
    <t>DMR202G01H00-01-03558</t>
  </si>
  <si>
    <t>DMR202G01H00-01-03563</t>
  </si>
  <si>
    <t>DMR202G01H00-01-03564</t>
  </si>
  <si>
    <t>DMR202G01H00-01-03565</t>
  </si>
  <si>
    <t>DMR202G01H00-01-03606</t>
  </si>
  <si>
    <t>DMR202G01H00-01-03605</t>
  </si>
  <si>
    <t>DMR202G01H00-01-03609</t>
  </si>
  <si>
    <t>DMR202G01H00-01-03610</t>
  </si>
  <si>
    <t>DMR202G01H00-01-03611</t>
  </si>
  <si>
    <t>DMR202G01H00-01-03604</t>
  </si>
  <si>
    <t>DMR202G01H00-01-04433</t>
  </si>
  <si>
    <t>DMR202G01H00-01-04434</t>
  </si>
  <si>
    <t>DMR202G01H00-01-04435</t>
  </si>
  <si>
    <t>DMR202G01H00-01-04436</t>
  </si>
  <si>
    <t>DMR202G01H00-01-04437</t>
  </si>
  <si>
    <t>DMR202G01H00-01-04438</t>
  </si>
  <si>
    <t>DMR202G01H00-01-04439</t>
  </si>
  <si>
    <t>DMR202G01H00-01-04425</t>
  </si>
  <si>
    <t>DMR202G01H00-01-04451</t>
  </si>
  <si>
    <t>DMR202G01H00-01-04263</t>
  </si>
  <si>
    <t>DMR202G01H00-01-04251</t>
  </si>
  <si>
    <t>DMR202G01H00-01-04252</t>
  </si>
  <si>
    <t>DMR202G01H00-01-04257</t>
  </si>
  <si>
    <t>DMR202G01H00-01-04258</t>
  </si>
  <si>
    <t>DMR202G01H00-01-04259</t>
  </si>
  <si>
    <t>DMR202G01H00-01-04260</t>
  </si>
  <si>
    <t>DMR202G01H00-01-04261</t>
  </si>
  <si>
    <t>DMR202G01H00-01-04262</t>
  </si>
  <si>
    <t>DMR202G01H00-01-04349</t>
  </si>
  <si>
    <t>DMR202G01H00-01-04350</t>
  </si>
  <si>
    <t>DMR202G01H00-01-04256</t>
  </si>
  <si>
    <t>DMR202G01H00-01-04255</t>
  </si>
  <si>
    <t>DMR202G01H00-05-01575</t>
  </si>
  <si>
    <t>DMR202G01H00-05-01579</t>
  </si>
  <si>
    <t>DMR202G01H00-05-01583</t>
  </si>
  <si>
    <t>DMR202G01H00-05-01582</t>
  </si>
  <si>
    <t>DMR202G01H00-05-01581</t>
  </si>
  <si>
    <t>DMR202G01H00-01-04444</t>
  </si>
  <si>
    <t>DMR202G01H00-01-04445</t>
  </si>
  <si>
    <t>DMR202G01H00-01-04447</t>
  </si>
  <si>
    <t>DMR202G01H00-01-04455</t>
  </si>
  <si>
    <t>DMR202G01H00-01-04474</t>
  </si>
  <si>
    <t>DMR202G01H00-01-04475</t>
  </si>
  <si>
    <t>DMR202G01H00-01-04450</t>
  </si>
  <si>
    <t>DMR202G01H00-01-04453</t>
  </si>
  <si>
    <t>DMR202G01H00-01-04454</t>
  </si>
  <si>
    <t>DMR202G01H00-05-01640</t>
  </si>
  <si>
    <t>DMR202G01H00-05-01641</t>
  </si>
  <si>
    <t>DMR202G01H00-05-01642</t>
  </si>
  <si>
    <t>DMR202G01H00-05-01643</t>
  </si>
  <si>
    <t>DMR202G01H00-05-01644</t>
  </si>
  <si>
    <t>DMR202G01H00-05-01648</t>
  </si>
  <si>
    <t>DMR202G01H00-05-01237</t>
  </si>
  <si>
    <t>DMR202G01H00-01-04219</t>
  </si>
  <si>
    <t>DMR202G01H00-01-04291</t>
  </si>
  <si>
    <t>DMR202G01H00-01-04220</t>
  </si>
  <si>
    <t>DMR202G01H00-01-04221</t>
  </si>
  <si>
    <t>DMR202G01H00-01-04222</t>
  </si>
  <si>
    <t>DMR202G01H00-01-04223</t>
  </si>
  <si>
    <t>DMR202G01H00-01-04224</t>
  </si>
  <si>
    <t>DMR202G01H00-01-04225</t>
  </si>
  <si>
    <t>DMR202G01H00-01-04226</t>
  </si>
  <si>
    <t>DMR202G01H00-01-04227</t>
  </si>
  <si>
    <t>DMR202G01H00-01-04228</t>
  </si>
  <si>
    <t>DMR202G01H00-01-04234</t>
  </si>
  <si>
    <t>DMR202G01H00-01-04229</t>
  </si>
  <si>
    <t>DMR202G01H00-01-04218</t>
  </si>
  <si>
    <t>DMR202G01H00-01-04217</t>
  </si>
  <si>
    <t>DMR202G01H00-01-04235</t>
  </si>
  <si>
    <t>DMR202G01H00-01-04230</t>
  </si>
  <si>
    <t>DMR202G01H00-01-04233</t>
  </si>
  <si>
    <t>DMR202G01H00-02-00956</t>
  </si>
  <si>
    <t>DMR202G01H00-02-00957</t>
  </si>
  <si>
    <t>DMR202G01H00-02-00958</t>
  </si>
  <si>
    <t>DMR202G01H00-05-01554</t>
  </si>
  <si>
    <t>DMR202G01H00-05-01555</t>
  </si>
  <si>
    <t>DMR202G01H00-05-01556</t>
  </si>
  <si>
    <t>DMR202G01H00-05-01562</t>
  </si>
  <si>
    <t>DMR202G01H00-05-01557</t>
  </si>
  <si>
    <t>DMR202G01H00-05-01558</t>
  </si>
  <si>
    <t>DMR202G01H00-05-01563</t>
  </si>
  <si>
    <t>DMR202G01H00-05-01561</t>
  </si>
  <si>
    <t>DMR202G01H00-01-02228</t>
  </si>
  <si>
    <t>DMR202G01H00-01-02229</t>
  </si>
  <si>
    <t>DMR202G01H00-01-02230</t>
  </si>
  <si>
    <t>DMR202G01H00-01-02231</t>
  </si>
  <si>
    <t>DMR202G01H00-01-02232</t>
  </si>
  <si>
    <t>DMR202G01H00-01-02233</t>
  </si>
  <si>
    <t>DMR202G01H00-01-02234</t>
  </si>
  <si>
    <t>DMR202G01H00-01-02235</t>
  </si>
  <si>
    <t>DMR202G01H00-01-02236</t>
  </si>
  <si>
    <t>DMR202G01H00-01-02237</t>
  </si>
  <si>
    <t>DMR202G01H00-01-02238</t>
  </si>
  <si>
    <t>DMR202G01H00-01-02239</t>
  </si>
  <si>
    <t>DMR202G01H00-01-02240</t>
  </si>
  <si>
    <t>DMR202G01H00-01-02241</t>
  </si>
  <si>
    <t>DMR202G01H00-01-02242</t>
  </si>
  <si>
    <t>DMR202G01H00-01-02244</t>
  </si>
  <si>
    <t>DMR202G01H00-01-02245</t>
  </si>
  <si>
    <t>DMR202G01H00-01-02246</t>
  </si>
  <si>
    <t>DMR202G01H00-01-02252</t>
  </si>
  <si>
    <t>DMR202G01H00-01-02253</t>
  </si>
  <si>
    <t>DMR202G01H00-01-02254</t>
  </si>
  <si>
    <t>DMR202G01H00-01-02255</t>
  </si>
  <si>
    <t>DMR202G01H00-01-02256</t>
  </si>
  <si>
    <t>DMR202G01H00-01-02257</t>
  </si>
  <si>
    <t>DMR202G01H00-01-02258</t>
  </si>
  <si>
    <t>DMR202G01H00-01-02259</t>
  </si>
  <si>
    <t>DMR202G01H00-01-02291</t>
  </si>
  <si>
    <t>DMR202G01H00-01-02292</t>
  </si>
  <si>
    <t>DMR202G01H00-01-02260</t>
  </si>
  <si>
    <t>DMR202G01H00-01-02262</t>
  </si>
  <si>
    <t>DMR202G01H00-01-02263</t>
  </si>
  <si>
    <t>DMR202G01H00-01-02264</t>
  </si>
  <si>
    <t>DMR202G01H00-01-02340</t>
  </si>
  <si>
    <t>DMR202G01H00-01-02320</t>
  </si>
  <si>
    <t>DMR202G01H00-01-02341</t>
  </si>
  <si>
    <t>DMR202G01H00-01-02366</t>
  </si>
  <si>
    <t>DMR202G01H00-01-02367</t>
  </si>
  <si>
    <t>DMR202G01H00-01-02368</t>
  </si>
  <si>
    <t>DMR202G01H00-01-02369</t>
  </si>
  <si>
    <t>DMR202G01H00-01-02270</t>
  </si>
  <si>
    <t>DMR202G01H00-01-02272</t>
  </si>
  <si>
    <t>DMR202G01H00-01-02273</t>
  </si>
  <si>
    <t>DMR202G01H00-01-02274</t>
  </si>
  <si>
    <t>DMR202G01H00-01-02275</t>
  </si>
  <si>
    <t>DMR202G01H00-01-02276</t>
  </si>
  <si>
    <t>DMR202G01H00-01-02277</t>
  </si>
  <si>
    <t>DMR202G01H00-01-02278</t>
  </si>
  <si>
    <t>DMR202G01H00-01-02279</t>
  </si>
  <si>
    <t>DMR202G01H00-01-02280</t>
  </si>
  <si>
    <t>DMR202G01H00-01-02281</t>
  </si>
  <si>
    <t>DMR202G01H00-01-02282</t>
  </si>
  <si>
    <t>DMR202G01H00-01-02283</t>
  </si>
  <si>
    <t>DMR202G01H00-01-02293</t>
  </si>
  <si>
    <t>DMR202G01H00-01-02294</t>
  </si>
  <si>
    <t>DMR202G01H00-01-02295</t>
  </si>
  <si>
    <t>DMR202G01H00-01-02296</t>
  </si>
  <si>
    <t>DMR202G01H00-01-02297</t>
  </si>
  <si>
    <t>DMR202G01H00-01-02298</t>
  </si>
  <si>
    <t>DMR202G01H00-01-02299</t>
  </si>
  <si>
    <t>DMR202G01H00-01-02300</t>
  </si>
  <si>
    <t>DMR202G01H00-01-02301</t>
  </si>
  <si>
    <t>DMR202G01H00-01-02302</t>
  </si>
  <si>
    <t>DMR202G01H00-01-02303</t>
  </si>
  <si>
    <t>DMR202G01H00-01-02304</t>
  </si>
  <si>
    <t>DMR202G01H00-01-02305</t>
  </si>
  <si>
    <t>DMR202G01H00-01-02306</t>
  </si>
  <si>
    <t>DMR202G01H00-01-02307</t>
  </si>
  <si>
    <t>DMR202G01H00-01-02308</t>
  </si>
  <si>
    <t>DMR202G01H00-01-02309</t>
  </si>
  <si>
    <t>DMR202G01H00-01-02310</t>
  </si>
  <si>
    <t>DMR202G01H00-01-02311</t>
  </si>
  <si>
    <t>DMR202G01H00-01-02312</t>
  </si>
  <si>
    <t>DMR202G01H00-01-02313</t>
  </si>
  <si>
    <t>DMR202G01H00-01-02314</t>
  </si>
  <si>
    <t>DMR202G01H00-01-02315</t>
  </si>
  <si>
    <t>DMR202G01H00-01-02316</t>
  </si>
  <si>
    <t>DMR202G01H00-01-02317</t>
  </si>
  <si>
    <t>DMR202G01H00-01-02318</t>
  </si>
  <si>
    <t>DMR202G01H00-01-02319</t>
  </si>
  <si>
    <t>DMR202G01H00-01-02321</t>
  </si>
  <si>
    <t>DMR202G01H00-01-02322</t>
  </si>
  <si>
    <t>DMR202G01H00-01-02323</t>
  </si>
  <si>
    <t>DMR202G01H00-01-02324</t>
  </si>
  <si>
    <t>DMR202G01H00-01-02325</t>
  </si>
  <si>
    <t>DMR202G01H00-01-02326</t>
  </si>
  <si>
    <t>DMR202G01H00-01-02327</t>
  </si>
  <si>
    <t>DMR202G01H00-01-02328</t>
  </si>
  <si>
    <t>DMR202G01H00-01-02329</t>
  </si>
  <si>
    <t>DMR202G01H00-01-02330</t>
  </si>
  <si>
    <t>DMR202G01H00-01-02331</t>
  </si>
  <si>
    <t>DMR202G01H00-01-02332</t>
  </si>
  <si>
    <t>DMR202G01H00-01-02333</t>
  </si>
  <si>
    <t>DMR202G01H00-01-02334</t>
  </si>
  <si>
    <t>DMR202G01H00-01-02335</t>
  </si>
  <si>
    <t>DMR202G01H00-01-02336</t>
  </si>
  <si>
    <t>DMR202G01H00-01-02284</t>
  </si>
  <si>
    <t>DMR202G01H00-01-02285</t>
  </si>
  <si>
    <t>DMR202G01H00-01-02286</t>
  </si>
  <si>
    <t>DMR202G01H00-02-00517</t>
  </si>
  <si>
    <t>DMR202G01H00-05-01326</t>
  </si>
  <si>
    <t>DMR202G01H00-05-01327</t>
  </si>
  <si>
    <t>DMR202G01H00-05-01328</t>
  </si>
  <si>
    <t>DMR202G01H00-05-01329</t>
  </si>
  <si>
    <t>DMR202G01H00-05-01330</t>
  </si>
  <si>
    <t>DMR202G01H00-05-01342</t>
  </si>
  <si>
    <t>DMR202G01H00-05-01354</t>
  </si>
  <si>
    <t>DMR202G01H00-05-01340</t>
  </si>
  <si>
    <t>DMR202G01H00-01-03147</t>
  </si>
  <si>
    <t>DMR202G01H00-01-03148</t>
  </si>
  <si>
    <t>DMR202G01H00-01-03149</t>
  </si>
  <si>
    <t>DMR202G01H00-01-03150</t>
  </si>
  <si>
    <t>DMR202G01H00-01-03151</t>
  </si>
  <si>
    <t>DMR202G01H00-01-03152</t>
  </si>
  <si>
    <t>DMR202G01H00-01-03153</t>
  </si>
  <si>
    <t>DMR202G01H00-01-03154</t>
  </si>
  <si>
    <t>Armario Metálico de 2 Puertas con llave</t>
  </si>
  <si>
    <t>Archivo Metálico de 4 gavetas</t>
  </si>
  <si>
    <t>DMR202G01H00-01-03138</t>
  </si>
  <si>
    <t>DMR202G01H00-01-03131</t>
  </si>
  <si>
    <t>DMR202G01H00-01-03132</t>
  </si>
  <si>
    <t>DMR202G01H00-01-03133</t>
  </si>
  <si>
    <t>DMR202G01H00-01-03134</t>
  </si>
  <si>
    <t>DMR202G01H00-01-03137</t>
  </si>
  <si>
    <t>DMR202G01H00-01-03223</t>
  </si>
  <si>
    <t>DMR202G01H00-01-03224</t>
  </si>
  <si>
    <t>DMR202G01H00-01-03161</t>
  </si>
  <si>
    <t>DMR202G01H00-01-03162</t>
  </si>
  <si>
    <t>DMR202G01H00-01-03163</t>
  </si>
  <si>
    <t>DMR202G01H00-01-03164</t>
  </si>
  <si>
    <t>DMR202G01H00-01-03165</t>
  </si>
  <si>
    <t>DMR202G01H00-01-03166</t>
  </si>
  <si>
    <t>DMR202G01H00-01-03167</t>
  </si>
  <si>
    <t>DMR202G01H00-01-03168</t>
  </si>
  <si>
    <t>DMR202G01H00-01-03169</t>
  </si>
  <si>
    <t>DMR202G01H00-01-03170</t>
  </si>
  <si>
    <t>DMR202G01H00-01-03171</t>
  </si>
  <si>
    <t>DMR202G01H00-01-03173</t>
  </si>
  <si>
    <t>DMR202G01H00-01-03174</t>
  </si>
  <si>
    <t>DMR202G01H00-01-03175</t>
  </si>
  <si>
    <t>DMR202G01H00-01-03239</t>
  </si>
  <si>
    <t>DMR202G01H00-01-03182</t>
  </si>
  <si>
    <t>DMR202G01H00-01-03183</t>
  </si>
  <si>
    <t>DMR202G01H00-01-03184</t>
  </si>
  <si>
    <t>DMR202G01H00-01-03185</t>
  </si>
  <si>
    <t>DMR202G01H00-01-03186</t>
  </si>
  <si>
    <t>DMR202G01H00-01-03221</t>
  </si>
  <si>
    <t>DMR202G01H00-01-03222</t>
  </si>
  <si>
    <t>DMR202G01H00-01-03218</t>
  </si>
  <si>
    <t>DMR202G01H00-01-03219</t>
  </si>
  <si>
    <t>DMR202G01H00-01-03220</t>
  </si>
  <si>
    <t>DMR202G01H00-01-03188</t>
  </si>
  <si>
    <t>DMR202G01H00-01-03189</t>
  </si>
  <si>
    <t>DMR202G01H00-05-01594</t>
  </si>
  <si>
    <t>DMR202G01H00-05-01595</t>
  </si>
  <si>
    <t>DMR202G01H00-05-01596</t>
  </si>
  <si>
    <t>DMR202G01H00-05-01598</t>
  </si>
  <si>
    <t>DMR202G01H00-05-01600</t>
  </si>
  <si>
    <t>DMR202G01H00-05-01603</t>
  </si>
  <si>
    <t>DMR202G01H00-05-01604</t>
  </si>
  <si>
    <t>DMR202G01H00-01-04288</t>
  </si>
  <si>
    <t>DMR202G01H00-01-04289</t>
  </si>
  <si>
    <t>DMR202G01H00-01-04292</t>
  </si>
  <si>
    <t>DMR202G01H00-01-04290</t>
  </si>
  <si>
    <t>DMR202G01H00-01-04293</t>
  </si>
  <si>
    <t>DMR202G01H00-01-04306</t>
  </si>
  <si>
    <t>DMR202G01H00-01-04307</t>
  </si>
  <si>
    <t>DMR202G01H00-01-04309</t>
  </si>
  <si>
    <t>DMR202G01H00-01-04310</t>
  </si>
  <si>
    <t>DMR202G01H00-01-04311</t>
  </si>
  <si>
    <t>DMR202G01H00-01-04308</t>
  </si>
  <si>
    <t>DMR202G01H00-01-04304</t>
  </si>
  <si>
    <t>DMR202G01H00-01-04312</t>
  </si>
  <si>
    <t>DMR202G01H00-01-04287</t>
  </si>
  <si>
    <t>DMR202G01H00-02-00962</t>
  </si>
  <si>
    <t>DMR202G01H00-02-00963</t>
  </si>
  <si>
    <t>DMR202G01H00-02-00964</t>
  </si>
  <si>
    <t>DMR202G01H00-05-01540</t>
  </si>
  <si>
    <t>DMR202G01H00-01-04855</t>
  </si>
  <si>
    <t>DMR202G01H00-01-04856</t>
  </si>
  <si>
    <t>DMR202G01H00-01-04857</t>
  </si>
  <si>
    <t>DMR202G01H00-01-04858</t>
  </si>
  <si>
    <t>DMR202G01H00-01-05069</t>
  </si>
  <si>
    <t>DMR202G01H00-01-05070</t>
  </si>
  <si>
    <t>DMR202G01H00-01-04854</t>
  </si>
  <si>
    <t>DMR202G01H00-01-04852</t>
  </si>
  <si>
    <t>DMR202G01H00-01-04853</t>
  </si>
  <si>
    <t>DMR202G01H00-01-05068</t>
  </si>
  <si>
    <t>DMR202G01H00-01-05073</t>
  </si>
  <si>
    <t>DMR202G01H00-01-05076</t>
  </si>
  <si>
    <t>DMR202G01H00-01-05130</t>
  </si>
  <si>
    <t>DMR202G01H00-01-05067</t>
  </si>
  <si>
    <t>DMR202G01H00-01-05077</t>
  </si>
  <si>
    <t>DMR202G01H00-05-01722</t>
  </si>
  <si>
    <t>DMR202G01H00-02-01102</t>
  </si>
  <si>
    <t>DMR202G01H00-05-01730</t>
  </si>
  <si>
    <t>DMR202G01H00-01-01537</t>
  </si>
  <si>
    <t>DMR202G01H00-01-01538</t>
  </si>
  <si>
    <t>DMR202G01H00-01-01539</t>
  </si>
  <si>
    <t>DMR202G01H00-01-01540</t>
  </si>
  <si>
    <t>DMR202G01H00-01-01541</t>
  </si>
  <si>
    <t>DMR202G01H00-01-01547</t>
  </si>
  <si>
    <t>DMR202G01H00-01-01548</t>
  </si>
  <si>
    <t>DMR202G01H00-01-01569</t>
  </si>
  <si>
    <t>DMR202G01H00-01-01570</t>
  </si>
  <si>
    <t>DMR202G01H00-01-01571</t>
  </si>
  <si>
    <t>DMR202G01H00-01-01577</t>
  </si>
  <si>
    <t>DMR202G01H00-01-01578</t>
  </si>
  <si>
    <t>DMR202G01H00-01-01581</t>
  </si>
  <si>
    <t>DMR202G01H00-01-01573</t>
  </si>
  <si>
    <t>DMR202G01H00-01-01582</t>
  </si>
  <si>
    <t>DMR202G01H00-01-01501</t>
  </si>
  <si>
    <t>DMR202G01H00-01-01467</t>
  </si>
  <si>
    <t>DMR202G01H00-01-01420</t>
  </si>
  <si>
    <t>DMR202G01H00-01-01421</t>
  </si>
  <si>
    <t>DMR202G01H00-01-01422</t>
  </si>
  <si>
    <t>DMR202G01H00-01-01423</t>
  </si>
  <si>
    <t>DMR202G01H00-01-01424</t>
  </si>
  <si>
    <t>DMR202G01H00-01-01425</t>
  </si>
  <si>
    <t>DMR202G01H00-01-01426</t>
  </si>
  <si>
    <t>DMR202G01H00-01-01427</t>
  </si>
  <si>
    <t>DMR202G01H00-01-01428</t>
  </si>
  <si>
    <t>DMR202G01H00-01-01429</t>
  </si>
  <si>
    <t>DMR202G01H00-01-01430</t>
  </si>
  <si>
    <t>DMR202G01H00-01-01431</t>
  </si>
  <si>
    <t>DMR202G01H00-01-01432</t>
  </si>
  <si>
    <t>DMR202G01H00-01-01433</t>
  </si>
  <si>
    <t>DMR202G01H00-01-01434</t>
  </si>
  <si>
    <t>DMR202G01H00-01-01435</t>
  </si>
  <si>
    <t>DMR202G01H00-01-01438</t>
  </si>
  <si>
    <t>DMR202G01H00-01-01439</t>
  </si>
  <si>
    <t>DMR202G01H00-01-01440</t>
  </si>
  <si>
    <t>DMR202G01H00-01-01441</t>
  </si>
  <si>
    <t>DMR202G01H00-01-01442</t>
  </si>
  <si>
    <t>DMR202G01H00-01-01560</t>
  </si>
  <si>
    <t>DMR202G01H00-01-01526</t>
  </si>
  <si>
    <t>DMR202G01H00-01-01527</t>
  </si>
  <si>
    <t>DMR202G01H00-01-01528</t>
  </si>
  <si>
    <t>DMR202G01H00-01-01529</t>
  </si>
  <si>
    <t>DMR202G01H00-01-01552</t>
  </si>
  <si>
    <t>DMR202G01H00-01-01553</t>
  </si>
  <si>
    <t>DMR202G01H00-01-01555</t>
  </si>
  <si>
    <t>DMR202G01H00-01-01556</t>
  </si>
  <si>
    <t>DMR202G01H00-01-01557</t>
  </si>
  <si>
    <t>DMR202G01H00-01-01558</t>
  </si>
  <si>
    <t xml:space="preserve">JJ8W-RBA50031  </t>
  </si>
  <si>
    <t>DMR202G01H00-01-04979</t>
  </si>
  <si>
    <t>DMR202G01H00-04-00084</t>
  </si>
  <si>
    <t>DMR202G01H00-04-00085</t>
  </si>
  <si>
    <t>DMR202G01H00-04-00086</t>
  </si>
  <si>
    <t>DMR202G01H00-04-00087</t>
  </si>
  <si>
    <t>DMR202G01H00-04-00088</t>
  </si>
  <si>
    <t>DMR202G01H00-04-00089</t>
  </si>
  <si>
    <t>DMR202G01H00-02-00500</t>
  </si>
  <si>
    <t>DMR202G01H00-02-00501</t>
  </si>
  <si>
    <t>DMR202G01H00-02-00483</t>
  </si>
  <si>
    <t>DMR202G01H00-02-00540</t>
  </si>
  <si>
    <t>DMR202G01H00-02-01140</t>
  </si>
  <si>
    <t>DMR202G01H00-02-01074</t>
  </si>
  <si>
    <t>DMR202G01H00-02-01127</t>
  </si>
  <si>
    <t>DMR202G01H00-02-01128</t>
  </si>
  <si>
    <t>DMR202G01H00-02-01164</t>
  </si>
  <si>
    <t>DMR202G01H00-01-04845</t>
  </si>
  <si>
    <t>DMR202G01H00-01-04846</t>
  </si>
  <si>
    <t>DMR202G01H00-01-04849</t>
  </si>
  <si>
    <t>DMR202G01H00-01-04850</t>
  </si>
  <si>
    <t>DMR202G01H00-01-04842</t>
  </si>
  <si>
    <t>DMR202G01H00-01-04840</t>
  </si>
  <si>
    <t>DMR202G01H00-01-04841</t>
  </si>
  <si>
    <t>DMR202G01H00-01-04664</t>
  </si>
  <si>
    <t>DMR202G01H00-01-01559</t>
  </si>
  <si>
    <t>DMR202G01H00-01-01561</t>
  </si>
  <si>
    <t>DMR202G01H00-01-01562</t>
  </si>
  <si>
    <t>DMR202G01H00-03-00034</t>
  </si>
  <si>
    <t>DMR202G01H00-03-00025 y 28</t>
  </si>
  <si>
    <t>DMR202G01H00-01-05082</t>
  </si>
  <si>
    <t>DMR202G01H00-02-00977</t>
  </si>
  <si>
    <t>DMR202G01H00-05-01214</t>
  </si>
  <si>
    <t>DMR202G01H00-01-04851</t>
  </si>
  <si>
    <t>DMR202G01H00-02-01322</t>
  </si>
  <si>
    <t>DMR202G01H00-01-04130</t>
  </si>
  <si>
    <t>DMR202G01H00-01-04131</t>
  </si>
  <si>
    <t>DMR202G01H00-01-04142</t>
  </si>
  <si>
    <t>DMR202G01H00-01-04143</t>
  </si>
  <si>
    <t>DMR202G01H00-01-04144</t>
  </si>
  <si>
    <t>Archivo Modular de 3 Gavetas Tipo Lapiz</t>
  </si>
  <si>
    <t>DMR202G01H00-01-04139</t>
  </si>
  <si>
    <t>DMR202G01H00-01-04140</t>
  </si>
  <si>
    <t>DMR202G01H00-01-04152</t>
  </si>
  <si>
    <t>DMR202G01H00-01-04153</t>
  </si>
  <si>
    <t>DMR202G01H00-01-04154</t>
  </si>
  <si>
    <t>DMR202G01H00-01-04155</t>
  </si>
  <si>
    <t>DMR202G01H00-01-04156</t>
  </si>
  <si>
    <t>DMR202G01H00-02-00908</t>
  </si>
  <si>
    <t>DMR202G01H00-02-01086</t>
  </si>
  <si>
    <t>DMR202G01H00-02-01087</t>
  </si>
  <si>
    <t>DMR202G01H00-01-01823</t>
  </si>
  <si>
    <t>DMR202G01H00-01-04673</t>
  </si>
  <si>
    <t>DMR202G01H00-01-04674</t>
  </si>
  <si>
    <t>DMR202G01H00-01-04676</t>
  </si>
  <si>
    <t>DMR202G01H00-01-04683</t>
  </si>
  <si>
    <t>DMR202G01H00-01-04695</t>
  </si>
  <si>
    <t>DMR202G01H00-01-04692</t>
  </si>
  <si>
    <t>DMR202G01H00-02-01036</t>
  </si>
  <si>
    <t>Santo Domingo Este</t>
  </si>
  <si>
    <t>Puerto Plata</t>
  </si>
  <si>
    <t>Santo Domingo, D.N. Gascue</t>
  </si>
  <si>
    <t>La Romana</t>
  </si>
  <si>
    <t>Gestión Humana</t>
  </si>
  <si>
    <t>Ante Despacho del Director</t>
  </si>
  <si>
    <t>Planificación y Desarrollo</t>
  </si>
  <si>
    <t>Depto. Movilización Social</t>
  </si>
  <si>
    <t>Consultoria Juridica</t>
  </si>
  <si>
    <t>Controles Internos</t>
  </si>
  <si>
    <t>Depto. Adquisiciones</t>
  </si>
  <si>
    <t>Prensa y Relaciones Pública</t>
  </si>
  <si>
    <t xml:space="preserve">Unidad de Transportación </t>
  </si>
  <si>
    <t>Unidad de Monitores Financieros</t>
  </si>
  <si>
    <t>Consultoria Jurídica</t>
  </si>
  <si>
    <t>Unidad Movilización Social</t>
  </si>
  <si>
    <t>Gestión a los Servicios de Salud</t>
  </si>
  <si>
    <t>Yamasa</t>
  </si>
  <si>
    <t>Sabana Grande de Boyá</t>
  </si>
  <si>
    <t>Boca Chica</t>
  </si>
  <si>
    <t>Samaná</t>
  </si>
  <si>
    <t>Monte Plata</t>
  </si>
  <si>
    <t>Miches</t>
  </si>
  <si>
    <t>Ramón Santana</t>
  </si>
  <si>
    <t>Guerra</t>
  </si>
  <si>
    <t>Santo Domingo Oeste</t>
  </si>
  <si>
    <t>San Juan de la Maguana</t>
  </si>
  <si>
    <t>Valverde Mao</t>
  </si>
  <si>
    <t>Pimentel</t>
  </si>
  <si>
    <t>Jimani</t>
  </si>
  <si>
    <t>Montecristi</t>
  </si>
  <si>
    <t>La Vega</t>
  </si>
  <si>
    <t>Peravia, Bani</t>
  </si>
  <si>
    <t>Azua, Peralta</t>
  </si>
  <si>
    <t>Tenares</t>
  </si>
  <si>
    <t>Villa Altagracia</t>
  </si>
  <si>
    <t>Villa Fundación, Bani</t>
  </si>
  <si>
    <t>El Factor de Nagua</t>
  </si>
  <si>
    <t>Enriquillo, Barahona</t>
  </si>
  <si>
    <t>Jamao al Norte</t>
  </si>
  <si>
    <t>Gaspar Hernandez</t>
  </si>
  <si>
    <t>Constanza</t>
  </si>
  <si>
    <t>Haina, San Cristobal</t>
  </si>
  <si>
    <t>Higuey</t>
  </si>
  <si>
    <t>Salcedo</t>
  </si>
  <si>
    <t>Monseñor Nouel, Bonao</t>
  </si>
  <si>
    <t>Elias Piña</t>
  </si>
  <si>
    <t>San Francisco de Macoris</t>
  </si>
  <si>
    <t>Santo Domingo. D.N.</t>
  </si>
  <si>
    <t>Santo Domingo Norte</t>
  </si>
  <si>
    <t>Batey 6, Barahona</t>
  </si>
  <si>
    <t>La Victoria</t>
  </si>
  <si>
    <t>DMR202G01H00-05-01741</t>
  </si>
  <si>
    <t>DMR202G01H00-05-01742</t>
  </si>
  <si>
    <t>DMR202G01H00-05-01743</t>
  </si>
  <si>
    <t>DMR202G01H00-05-01744</t>
  </si>
  <si>
    <t>DMR202G01H00-05-01746</t>
  </si>
  <si>
    <t>DMR202G01H00-05-01747</t>
  </si>
  <si>
    <t>DMR202G01H00-05-01748</t>
  </si>
  <si>
    <t>DMR202G01H00-05-01749</t>
  </si>
  <si>
    <t>DMR202G01H00-05-01750</t>
  </si>
  <si>
    <t>DMR202G01H00-05-01753</t>
  </si>
  <si>
    <t>DMR202G01H00-05-01754</t>
  </si>
  <si>
    <t>DMR202G01H00-05-01755</t>
  </si>
  <si>
    <t>DMR202G01H00-05-01757</t>
  </si>
  <si>
    <t>DMR202G01H00-05-01759</t>
  </si>
  <si>
    <t>DMR202G01H00-05-01760</t>
  </si>
  <si>
    <t>DMR202G01H00-05-01761</t>
  </si>
  <si>
    <t>DMR202G01H00-05-01762</t>
  </si>
  <si>
    <t>DMR202G01H00-05-01763</t>
  </si>
  <si>
    <t>DMR202G01H00-05-01768</t>
  </si>
  <si>
    <t>DMR202G01H00-05-01769</t>
  </si>
  <si>
    <t>DMR202G01H00-05-01770</t>
  </si>
  <si>
    <t>DMR202G01H00-05-01771</t>
  </si>
  <si>
    <t>DMR202G01H00-05-01772</t>
  </si>
  <si>
    <t>DMR202G01H00-05-01773</t>
  </si>
  <si>
    <t>DMR202G01H00-05-01775</t>
  </si>
  <si>
    <t>DMR202G01H00-05-01776</t>
  </si>
  <si>
    <t>DMR202G01H00-05-01778</t>
  </si>
  <si>
    <t>DMR202G01H00-05-01779</t>
  </si>
  <si>
    <t>DMR202G01H00-05-01782</t>
  </si>
  <si>
    <t>DMR202G01H00-05-01783</t>
  </si>
  <si>
    <t>DMR202G01H00-05-01784</t>
  </si>
  <si>
    <t>DMR202G01H00-05-01785</t>
  </si>
  <si>
    <t>DMR202G01H00-01-05571</t>
  </si>
  <si>
    <t>DMR202G01H00-01-05572</t>
  </si>
  <si>
    <t>DMR202G01H00-01-05575</t>
  </si>
  <si>
    <t>DMR202G01H00-01-05577</t>
  </si>
  <si>
    <t>DMR202G01H00-01-05578</t>
  </si>
  <si>
    <t>DMR202G01H00-01-05579</t>
  </si>
  <si>
    <t>DMR202G01H00-05-01787</t>
  </si>
  <si>
    <t>DMR202G01H00-05-01788</t>
  </si>
  <si>
    <t>DMR202G01H00-05-01790</t>
  </si>
  <si>
    <t>DMR202G01H00-05-01791</t>
  </si>
  <si>
    <t>DMR202G01H00-05-01793</t>
  </si>
  <si>
    <t>DMR202G01H00-05-01794</t>
  </si>
  <si>
    <t>DMR202G01H00-05-01795</t>
  </si>
  <si>
    <t>DMR202G01H00-05-01796</t>
  </si>
  <si>
    <t>DMR202G01H00-05-01797</t>
  </si>
  <si>
    <t>DMR202G01H00-05-01801</t>
  </si>
  <si>
    <t>DMR202G01H00-02-01653</t>
  </si>
  <si>
    <t>DMR202G01H00-02-01654</t>
  </si>
  <si>
    <t>DMR202G01H00-02-01662</t>
  </si>
  <si>
    <t>DMR202G01H00-02-01663</t>
  </si>
  <si>
    <t>DMR202G01H00-02-01672</t>
  </si>
  <si>
    <t>DMR202G01H00-02-01673</t>
  </si>
  <si>
    <t>DMR202G01H00-02-01675</t>
  </si>
  <si>
    <t>DMR202G01H00-02-01676</t>
  </si>
  <si>
    <t>DMR202G01H00-02-01682</t>
  </si>
  <si>
    <t>DMR202G01H00-02-01683</t>
  </si>
  <si>
    <t>DMR202G01H00-02-01684</t>
  </si>
  <si>
    <t>DMR202G01H00-02-01685</t>
  </si>
  <si>
    <t>DMR202G01H00-02-01687</t>
  </si>
  <si>
    <t>DMR202G01H00-02-01688</t>
  </si>
  <si>
    <t>DMR202G01H00-02-01691</t>
  </si>
  <si>
    <t>Ck. 61 y       Ck 83</t>
  </si>
  <si>
    <t>Código</t>
  </si>
  <si>
    <t>INSTITUCIONES</t>
  </si>
  <si>
    <t>Doc. Adquis.</t>
  </si>
  <si>
    <t>GOB-02-01518</t>
  </si>
  <si>
    <t>Transformador de UPS APC SMART RT-TOWER ISOLATION/STEP-DOWN. Incluye: Instalación, Conf. y Puestra en Marcha.</t>
  </si>
  <si>
    <t>5S1506T09264</t>
  </si>
  <si>
    <t>GOB-02-01519</t>
  </si>
  <si>
    <t>GOB-02-01520</t>
  </si>
  <si>
    <t>CNF8H15FD7</t>
  </si>
  <si>
    <t>GLOBAL OFFICE JL, SRL</t>
  </si>
  <si>
    <t>Lib. 394-1 Contrapartida</t>
  </si>
  <si>
    <t>GOB-01-05296</t>
  </si>
  <si>
    <t>Credenza en Melamina Color Haya, Puertas Corrediza Mod. LM-2000</t>
  </si>
  <si>
    <t>LIMCOBA, SRL.</t>
  </si>
  <si>
    <t>GOB-01-05298</t>
  </si>
  <si>
    <t>Escritorio en Madera Enchapada con Mahogany, con Archivo Modular de 3 Gavetas y Lateral, Mod. LM-5518</t>
  </si>
  <si>
    <t>GOB-01-05299</t>
  </si>
  <si>
    <t>Armario Metalico de 2 Puertas, Color Gris, Mod. LM-AM72</t>
  </si>
  <si>
    <t>GOB-01-05300</t>
  </si>
  <si>
    <t>GOB-04-00112</t>
  </si>
  <si>
    <t>Central Telefónica Starvox Hibrida con Troncal T1. Incluye: Servicio Técnico, Instalación, Configuración y Entrenamientos.</t>
  </si>
  <si>
    <t>MR NETWORKING, SRL.</t>
  </si>
  <si>
    <t>GOB-04-00113</t>
  </si>
  <si>
    <t>Teléfono Grandstream GXP2130. Cantidad: 18 Unidades</t>
  </si>
  <si>
    <t>GOB-04-00114</t>
  </si>
  <si>
    <t>Teléfono Grandstream GXP1625. Cantidad: 69 Unidades</t>
  </si>
  <si>
    <t>GOB-02-01521</t>
  </si>
  <si>
    <t>Impresora HP LaserJet M604DN Monocromática</t>
  </si>
  <si>
    <t>CNBCH7B0F7</t>
  </si>
  <si>
    <t>GOB-02-01522</t>
  </si>
  <si>
    <t>Switch Cisco SG300-28PP-K9 de 28 Pto.</t>
  </si>
  <si>
    <t>DNI19170A7U</t>
  </si>
  <si>
    <t>GOB-02-01523</t>
  </si>
  <si>
    <t>DNI191709B5</t>
  </si>
  <si>
    <t>GOB-02-01524</t>
  </si>
  <si>
    <t>Licencia Windows Server (WINSVRSTD 2012 R2 OLP NL GOV 2PROC). Cantidad: 4 Unidades.</t>
  </si>
  <si>
    <t>GRUPO TECNOLOGICO ADEXSUS, SRL.</t>
  </si>
  <si>
    <t>GOB-02-01525</t>
  </si>
  <si>
    <t>Equipo Dell SonicWall TZ400 Secure Upgrade Plus 2YR</t>
  </si>
  <si>
    <t>18B1690D7274</t>
  </si>
  <si>
    <t>GOB-02-01526</t>
  </si>
  <si>
    <t>Impresora Epson LX-350 Plus Matricial</t>
  </si>
  <si>
    <t>Q75Y101747</t>
  </si>
  <si>
    <t>FL BETANCES &amp; ASOCIADO, S.A.</t>
  </si>
  <si>
    <t>GOB-01-05306</t>
  </si>
  <si>
    <t>Silla Cajero en Tela Color Azul con Brazos Mod. LM-588</t>
  </si>
  <si>
    <t>GOB-01-05307</t>
  </si>
  <si>
    <t>Sillon Ejecutivo en Tela Color Negro, Mod. LM-MD</t>
  </si>
  <si>
    <t>GOB-01-05308</t>
  </si>
  <si>
    <t>Butaca de Visita en Tela Color Negro, Mod. LM-MD</t>
  </si>
  <si>
    <t>GOB-01-05309</t>
  </si>
  <si>
    <t>GOB-01-05310</t>
  </si>
  <si>
    <t>Lib. No.688 Pagado en Junio, 2017</t>
  </si>
  <si>
    <t>Bebedero de Botellón Daiwa. Con Botellón Oculto. Color Gris.</t>
  </si>
  <si>
    <t>DW-11750542</t>
  </si>
  <si>
    <t>2017005595L</t>
  </si>
  <si>
    <t>Lib. No.930</t>
  </si>
  <si>
    <t xml:space="preserve">Scanner Fujitsu Scan Snap iX500  </t>
  </si>
  <si>
    <t>AWRHF05548</t>
  </si>
  <si>
    <t>FL BETANCES &amp; ASOCIADOS, S.R.L.</t>
  </si>
  <si>
    <t>Lib. No.1062</t>
  </si>
  <si>
    <t>Cámara Fotográfica NIKON D7200 24.0 Mega Pixeles, Video Full HD 1080P, Conectividad Wifi. LCD 3.2 Pulgadas. Incluye: Bateria Externa, Cargador, Correa de Cuello, Cable USB, Memoria, Bulto. Disco Duro Portatil 2TB.</t>
  </si>
  <si>
    <t>OFFITEK, SRL.</t>
  </si>
  <si>
    <t xml:space="preserve">Lente Tamron P/Nikon Zoom 18-200mm VR II F3.5-5.6G. </t>
  </si>
  <si>
    <t>Lib. No.1231</t>
  </si>
  <si>
    <t>FMVYFH2</t>
  </si>
  <si>
    <t>4NVYFH2</t>
  </si>
  <si>
    <t>CFOZFH2</t>
  </si>
  <si>
    <t>9COZFH2</t>
  </si>
  <si>
    <t>2H5BGH2</t>
  </si>
  <si>
    <t>7NVYFH2</t>
  </si>
  <si>
    <t>4PVYFH2</t>
  </si>
  <si>
    <t>2MVYFH2</t>
  </si>
  <si>
    <t>4M5BGH2</t>
  </si>
  <si>
    <t>Lib. No.690. Pagado en Junio, 2017</t>
  </si>
  <si>
    <t>Abanico de Torre marca Hamilton</t>
  </si>
  <si>
    <t>MUÑOZ CONCEPTO MOBILIARIOS, S.A.</t>
  </si>
  <si>
    <t>Lib. No.1300</t>
  </si>
  <si>
    <t>METRO TECNOLOGIA, SRL.</t>
  </si>
  <si>
    <t>Lib. No.1301</t>
  </si>
  <si>
    <t>2K01C8DPAMV3R50</t>
  </si>
  <si>
    <t>Puntos Estratégicos de la Institución</t>
  </si>
  <si>
    <t>Lib. No.1544</t>
  </si>
  <si>
    <t>Lib. No.1579</t>
  </si>
  <si>
    <t>TRAMERIAS Y SOLUCIONES DE ALMACENAJE T.S.A. S.R.L.</t>
  </si>
  <si>
    <t>Lib. No.1860</t>
  </si>
  <si>
    <t>Carro Plataforma para Transporte de Cajas Dimensión: 24" x 48" 750Lbs.</t>
  </si>
  <si>
    <t>Mod. 40124</t>
  </si>
  <si>
    <t>FERRETERIA POPULAR, S.R.L.</t>
  </si>
  <si>
    <t>Mod. B56XL/5</t>
  </si>
  <si>
    <t>Mod. 9W2700</t>
  </si>
  <si>
    <t>Carro Metálico de 3 Niveles en Acero Inoxidable. 18" x 28" P/Recogida de Pedido.</t>
  </si>
  <si>
    <t>Mod. BC4-3</t>
  </si>
  <si>
    <t>Escalera de 3 Peldaño Metálica y Plegable.</t>
  </si>
  <si>
    <t>Lib. No. 1868</t>
  </si>
  <si>
    <t>Computador Dell Optiplex 7010. Incluye: Monitor Dell 1916H, Mouse y Teclado.</t>
  </si>
  <si>
    <t>CPU: 37DHCY1  Monitor: D2D35D2</t>
  </si>
  <si>
    <t>CPU: HPKV7Y1  Monitor: 4RB35D2</t>
  </si>
  <si>
    <t>CPU: 82MGBZ1  Monitor: 46D35D2</t>
  </si>
  <si>
    <t>CPU: 82LFBZ1  Monitor: FL1C5D2</t>
  </si>
  <si>
    <t>CPU: 7QFP8Y1   Monitor: 16D35D2</t>
  </si>
  <si>
    <t>CPU: 9PMKBZ1 Monitor: JJB35D2</t>
  </si>
  <si>
    <t>CPU: 6LS0BZ1  Monitor: 5CC35D2</t>
  </si>
  <si>
    <t>CPU: HPFB8Y1  Monitor: 9FB35D2</t>
  </si>
  <si>
    <t>Impresora LaserJet Pro MFP M227FDW Multifuncional</t>
  </si>
  <si>
    <t>VNB3C34120</t>
  </si>
  <si>
    <t>VNB3C34085</t>
  </si>
  <si>
    <t>VNB3C34135</t>
  </si>
  <si>
    <t>VNB3C34136</t>
  </si>
  <si>
    <t>UPS FORZA 750VA</t>
  </si>
  <si>
    <t>170722509325</t>
  </si>
  <si>
    <t>170722509326</t>
  </si>
  <si>
    <t>170722509327</t>
  </si>
  <si>
    <t>170722509328</t>
  </si>
  <si>
    <t>170722509457</t>
  </si>
  <si>
    <t>170722509458</t>
  </si>
  <si>
    <t>170722509459</t>
  </si>
  <si>
    <t>170722509460</t>
  </si>
  <si>
    <t>Lib. No.1872</t>
  </si>
  <si>
    <t>Locker Metálico de 8 Casilleros.</t>
  </si>
  <si>
    <t>LEON GONZALEZ,SRL.</t>
  </si>
  <si>
    <t>Archivo Modular de 3 Gavetas, Metálico, Color Gris</t>
  </si>
  <si>
    <t>Silla Secretarial en Tela Negra con Brazos</t>
  </si>
  <si>
    <t>Escritorio en Melanina 120 x 60 en L</t>
  </si>
  <si>
    <t>Sillón Semi-Ejecutivo en Tela Negra, Giratorio.</t>
  </si>
  <si>
    <t>Lib. No. 1874</t>
  </si>
  <si>
    <t>Mesa Desmontable en Resina y Estructura Metálica. Dimensión: 30 x 73 x 30</t>
  </si>
  <si>
    <t>COMPU-OFFICE DOMINICANA, SRL.</t>
  </si>
  <si>
    <t>Silla Star Plegadiza en Resina y Estructura Metálica</t>
  </si>
  <si>
    <t>Archivo Vertical de 4 Gavetas, Metálico, Color Gris</t>
  </si>
  <si>
    <t>Lib. No. 1843</t>
  </si>
  <si>
    <t>Extintor de Fuego ABC Amerex de 10 Lbs.</t>
  </si>
  <si>
    <t>TORIBIO MONES, SRL.</t>
  </si>
  <si>
    <t>Lib. No. 2116</t>
  </si>
  <si>
    <t>INVERPACK, SRL.</t>
  </si>
  <si>
    <t>Consultoría Jurídica</t>
  </si>
  <si>
    <t>Salón de Conferencia</t>
  </si>
  <si>
    <t>Aire Acondicionado Inverter de 36,000 BTU  Marca: Everwell.</t>
  </si>
  <si>
    <t>Lib. No. 1987</t>
  </si>
  <si>
    <t>Chasis No.            3N6CD33B2ZK385967</t>
  </si>
  <si>
    <t>Chasis No.            3N6CD33B7ZK385978</t>
  </si>
  <si>
    <t>Chasis No.            3N6CD33B1ZK386107</t>
  </si>
  <si>
    <t>Chasis No.            3N6CD33B6ZK383039</t>
  </si>
  <si>
    <t>Lib. No. 1969</t>
  </si>
  <si>
    <t>VNB3M03156</t>
  </si>
  <si>
    <t>FL BETANCES &amp; ASOCIADOS, S.A.</t>
  </si>
  <si>
    <t>Lib. No.2180</t>
  </si>
  <si>
    <t>GOB-01-05451</t>
  </si>
  <si>
    <t>Televisor Panasonic 32" LED SMART</t>
  </si>
  <si>
    <t>EXBA60510363</t>
  </si>
  <si>
    <t>OFFICE DEPOT DOMINICANA CORP.</t>
  </si>
  <si>
    <t>Lib. No.2182</t>
  </si>
  <si>
    <t>GOB-01-05452</t>
  </si>
  <si>
    <t>Videocámara Profesional Sony HXR-MC2500 AVCHD 12x Zoom. Incluye: 3 Bateria NP-F570, Cargador, Adaptador AC, Cable USB, Microfono, Parasol, Difusor de Luz, Copa de Visor, Tapa de Lente, Cover Protector P/Lluvia, Bulto, 2 Memoria Scandisk 64GB.</t>
  </si>
  <si>
    <t>LR CAMARAS SHOP, S.R.L.</t>
  </si>
  <si>
    <t>GOB-01-05453</t>
  </si>
  <si>
    <t>Paneles de Luces Led Neewer CN-160 para Video 160 Bombillas Led, Graduación de Intensidad, Filtro Gris y Naranja. Incluye: Bateria Kastar Tipo NP-F570 y Cargador Genérico. Cantidad: 2 Unidades.</t>
  </si>
  <si>
    <t>GOB-01-05454</t>
  </si>
  <si>
    <t>Sistema de Micrófonos Inalambrico Saramonic UWMIC9. Incluye: 1x Receptor, 2x Emisores, 2x Microfono Lavalier, 1x Cable de Audio 3.5mm, 1x Adaptador XLR a 3.5mm</t>
  </si>
  <si>
    <t>Lib. No.2199</t>
  </si>
  <si>
    <t>GOB-02-01637</t>
  </si>
  <si>
    <t>Apple iMAC MNE92LL/A 27 Pulgada</t>
  </si>
  <si>
    <t>CO2VN34QJ1GG</t>
  </si>
  <si>
    <t>GOB-02-01639</t>
  </si>
  <si>
    <t>Laptop Dell Inspiron I5 5567</t>
  </si>
  <si>
    <t>3Q0FJ22</t>
  </si>
  <si>
    <t>GOB-02-01638</t>
  </si>
  <si>
    <t>1WSHJ22</t>
  </si>
  <si>
    <t>GOB-02-01640</t>
  </si>
  <si>
    <t>AWRHC56102</t>
  </si>
  <si>
    <t>GOB-02-01641</t>
  </si>
  <si>
    <t>AWRHF08993</t>
  </si>
  <si>
    <t>GOB-02-01642</t>
  </si>
  <si>
    <t>AWRHF08495</t>
  </si>
  <si>
    <t>Lib. No.73-1</t>
  </si>
  <si>
    <t>GOB-03-00047</t>
  </si>
  <si>
    <t>JTEBU4JR005508257</t>
  </si>
  <si>
    <t>DELTA COMERCIAL, S.A.</t>
  </si>
  <si>
    <t>Lib. No.217</t>
  </si>
  <si>
    <t>GOB-02-01643</t>
  </si>
  <si>
    <t>Licencia Antivirus Symantec Endpoint Protection. Cantidad: 80 Unidades y Duración: Tres (3) Años.</t>
  </si>
  <si>
    <t>Lib. No.255</t>
  </si>
  <si>
    <t>GOB-01-05455</t>
  </si>
  <si>
    <t>R TIRADO SOLUTION SERVICES, SRL.</t>
  </si>
  <si>
    <t>GOB-01-05456</t>
  </si>
  <si>
    <t>GOB-01-05457</t>
  </si>
  <si>
    <t>GOB-01-05458</t>
  </si>
  <si>
    <t>GOB-01-05459</t>
  </si>
  <si>
    <t>GOB-01-05460</t>
  </si>
  <si>
    <t>GOB-01-05461</t>
  </si>
  <si>
    <t>GOB-01-05462</t>
  </si>
  <si>
    <t>GOB-01-05463</t>
  </si>
  <si>
    <t>GOB-01-05464</t>
  </si>
  <si>
    <t>GOB-01-05465</t>
  </si>
  <si>
    <t>GOB-01-05466</t>
  </si>
  <si>
    <t>GOB-01-05467</t>
  </si>
  <si>
    <t>GOB-01-05468</t>
  </si>
  <si>
    <t>GOB-01-05469</t>
  </si>
  <si>
    <t>GOB-01-05470</t>
  </si>
  <si>
    <t>GOB-01-05471</t>
  </si>
  <si>
    <t>GOB-01-05472</t>
  </si>
  <si>
    <t>GOB-01-05473</t>
  </si>
  <si>
    <t>GOB-01-05474</t>
  </si>
  <si>
    <t>GOB-01-05475</t>
  </si>
  <si>
    <t>GOB-01-05476</t>
  </si>
  <si>
    <t>GOB-01-05477</t>
  </si>
  <si>
    <t>GOB-01-05478</t>
  </si>
  <si>
    <t>GOB-01-05479</t>
  </si>
  <si>
    <t>GOB-01-05480</t>
  </si>
  <si>
    <t>GOB-01-05481</t>
  </si>
  <si>
    <t>GOB-01-05482</t>
  </si>
  <si>
    <t>GOB-01-05483</t>
  </si>
  <si>
    <t>GOB-01-05484</t>
  </si>
  <si>
    <t>GOB-01-05485</t>
  </si>
  <si>
    <t>GOB-01-05486</t>
  </si>
  <si>
    <t>GOB-01-05487</t>
  </si>
  <si>
    <t>GOB-01-05488</t>
  </si>
  <si>
    <t>GOB-01-05489</t>
  </si>
  <si>
    <t>Lib. No.326</t>
  </si>
  <si>
    <t>GOB-01-05490</t>
  </si>
  <si>
    <t>Microonda Panasonic, 1.2 Cúb. Inverter. Mod. NN-ST651WR, Color Blanco</t>
  </si>
  <si>
    <t>6B97280477</t>
  </si>
  <si>
    <t>Pasillo 2do. Nivel</t>
  </si>
  <si>
    <t>GOB-01-05491</t>
  </si>
  <si>
    <t>6B97280909</t>
  </si>
  <si>
    <t>Lib. No.470</t>
  </si>
  <si>
    <t>GOB-01-05492</t>
  </si>
  <si>
    <t>Nevera Ejecutiva Frigidaire 4.5” Pies Cúbico. Modelo: FRD04G3HPI. Color: Acero/Negro</t>
  </si>
  <si>
    <t>Lib. No.600</t>
  </si>
  <si>
    <t>GOB-02-01644</t>
  </si>
  <si>
    <t>Computador Dell Optiplex 3050</t>
  </si>
  <si>
    <t>CPU: 60TSWK2    MONITOR: CN-OKJ5TR-FC000-7BR-AA36</t>
  </si>
  <si>
    <t>Lib. No.686 Pagado en Junio, 2017</t>
  </si>
  <si>
    <t>GOB-01-05493</t>
  </si>
  <si>
    <t>ACTUALIDADES VD, SRL.</t>
  </si>
  <si>
    <t>GOB-01-05494</t>
  </si>
  <si>
    <t>GOB-01-05495</t>
  </si>
  <si>
    <t>GOB-01-05496</t>
  </si>
  <si>
    <t>GOB-01-05497</t>
  </si>
  <si>
    <t>GOB-01-05498</t>
  </si>
  <si>
    <t>GOB-01-05499</t>
  </si>
  <si>
    <t>Butaca de Visita en Pielina Negra y Base Niquelada.</t>
  </si>
  <si>
    <t>GOB-01-05500</t>
  </si>
  <si>
    <t>Lib. No.1152</t>
  </si>
  <si>
    <t>GOB-01-05501</t>
  </si>
  <si>
    <t xml:space="preserve">Abanico Enfriador Portátil, Color Gris, Marca: Honeywell, Modelo: CL201AE
</t>
  </si>
  <si>
    <t>1608/0002167</t>
  </si>
  <si>
    <t>GOB-01-05502</t>
  </si>
  <si>
    <t>1612/0003531</t>
  </si>
  <si>
    <t>GOB-01-05503</t>
  </si>
  <si>
    <t>Lib. No.1172 Pagado en Sept., 2017</t>
  </si>
  <si>
    <t>GOB-01-05504</t>
  </si>
  <si>
    <t>Cortinas Enrollable Blackout en Vinil, Color Crema. Cantidad: 27 Unidades.</t>
  </si>
  <si>
    <t>INTERDECO, SRL.</t>
  </si>
  <si>
    <t>GOB-01-05505</t>
  </si>
  <si>
    <t>Credenza en Melamina Color Haya, Puertas. Corrediza.</t>
  </si>
  <si>
    <t>Mod. LM-644</t>
  </si>
  <si>
    <t>GOB-01-05506</t>
  </si>
  <si>
    <t>Sillón Ejecutivo en Pielina, Color Negro y Base Niquelada.</t>
  </si>
  <si>
    <t>Mod. LM-TONY</t>
  </si>
  <si>
    <t>GOB-01-05507</t>
  </si>
  <si>
    <t>GOB-01-05508</t>
  </si>
  <si>
    <t>GOB-01-05509</t>
  </si>
  <si>
    <t>Estante Tipo Librero en Madera, Color Cerezo, Dos Tramos y Dos Puertas Bajas</t>
  </si>
  <si>
    <t>Mod. LM-VE1402</t>
  </si>
  <si>
    <t>GOB-01-05510</t>
  </si>
  <si>
    <t>GOB-01-05511</t>
  </si>
  <si>
    <t>GOB-01-05512</t>
  </si>
  <si>
    <t>GOB-01-05513</t>
  </si>
  <si>
    <t>Credenza en Madera Enchapada, Con Puertas Abatibles y Cristal</t>
  </si>
  <si>
    <t>Mod. LM-G6816   Dimención: 158 cm</t>
  </si>
  <si>
    <t>GOB-01-05514</t>
  </si>
  <si>
    <t>Escritorio en L, Tope Melanina y Estructura Metalica Color Gris y Pata Tubular</t>
  </si>
  <si>
    <t>Mod. LM-E162</t>
  </si>
  <si>
    <t>GOB-01-05515</t>
  </si>
  <si>
    <t>GOB-01-05516</t>
  </si>
  <si>
    <t>Credenza en Caoba con Puerta y Gavetas. Dimension: 16 x 43.</t>
  </si>
  <si>
    <t>GOB-01-05517</t>
  </si>
  <si>
    <t>GOB-01-05518</t>
  </si>
  <si>
    <t>GOB-01-05519</t>
  </si>
  <si>
    <t>GOB-01-05520</t>
  </si>
  <si>
    <t>GOB-01-05521</t>
  </si>
  <si>
    <t>GOB-01-05522</t>
  </si>
  <si>
    <t>GOB-01-05523</t>
  </si>
  <si>
    <t>GOB-01-05524</t>
  </si>
  <si>
    <t>GOB-01-05525</t>
  </si>
  <si>
    <t>GOB-01-05526</t>
  </si>
  <si>
    <t>GOB-01-05527</t>
  </si>
  <si>
    <t>GOB-01-05528</t>
  </si>
  <si>
    <t>GOB-01-05529</t>
  </si>
  <si>
    <t>Mesa de Centro con Tope de Cristal y Base Metálica. Dimensión: 24 x 36 x 16</t>
  </si>
  <si>
    <t>GOB-01-05530</t>
  </si>
  <si>
    <t xml:space="preserve">Mod. OF-146 </t>
  </si>
  <si>
    <t>GOB-01-05531</t>
  </si>
  <si>
    <t>GOB-01-05532</t>
  </si>
  <si>
    <t>GOB-01-05533</t>
  </si>
  <si>
    <t>GOB-01-05534</t>
  </si>
  <si>
    <t>GOB-01-05535</t>
  </si>
  <si>
    <t>GOB-01-05536</t>
  </si>
  <si>
    <t>GOB-01-05537</t>
  </si>
  <si>
    <t>GOB-01-05538</t>
  </si>
  <si>
    <t>GOB-01-05539</t>
  </si>
  <si>
    <t>GOB-01-05540</t>
  </si>
  <si>
    <t>GOB-01-05541</t>
  </si>
  <si>
    <t>GOB-01-05542</t>
  </si>
  <si>
    <t>GOB-01-05543</t>
  </si>
  <si>
    <t>GOB-01-05544</t>
  </si>
  <si>
    <t>GOB-01-05545</t>
  </si>
  <si>
    <t>GOB-01-05546</t>
  </si>
  <si>
    <t>GOB-01-05547</t>
  </si>
  <si>
    <t>GOB-01-05548</t>
  </si>
  <si>
    <t>Mesa de Conferencia en Caoba en Forma de U. Dimensión: 4.45 x 3.70</t>
  </si>
  <si>
    <t>GOB-01-05549</t>
  </si>
  <si>
    <t>GOB-01-05550</t>
  </si>
  <si>
    <t>GOB-01-05551</t>
  </si>
  <si>
    <t>GOB-01-05552</t>
  </si>
  <si>
    <t>GOB-01-05553</t>
  </si>
  <si>
    <t>GOB-01-05554</t>
  </si>
  <si>
    <t>GOB-01-05555</t>
  </si>
  <si>
    <t>GOB-01-05556</t>
  </si>
  <si>
    <t>GOB-01-05557</t>
  </si>
  <si>
    <t>GOB-01-05558</t>
  </si>
  <si>
    <t>GOB-01-05559</t>
  </si>
  <si>
    <t>GOB-01-05560</t>
  </si>
  <si>
    <t>GOB-01-05561</t>
  </si>
  <si>
    <t>Lib. No.733</t>
  </si>
  <si>
    <t>GOB-01-05562</t>
  </si>
  <si>
    <t>Televisor Samsung 32" LED, 720P</t>
  </si>
  <si>
    <t>Lib. No.760</t>
  </si>
  <si>
    <t>GOB-02-01645</t>
  </si>
  <si>
    <t>Disco Duro Externo de 1 TB Ext. 2.5" Seagata Backup Plus USB 3.0</t>
  </si>
  <si>
    <t>NA9CS904</t>
  </si>
  <si>
    <t>GOB-02-01646</t>
  </si>
  <si>
    <t>NA9CS96C</t>
  </si>
  <si>
    <t xml:space="preserve">Lib. No.860 </t>
  </si>
  <si>
    <t>GOB-01-05563</t>
  </si>
  <si>
    <t>Mod. LM-G6816</t>
  </si>
  <si>
    <t>Lib. No.996</t>
  </si>
  <si>
    <t>GOB-02-01647</t>
  </si>
  <si>
    <t>Servidor HPE ProLaint DL360 Gen 10 (Servidor para Virtualización)</t>
  </si>
  <si>
    <t>MXQ82704XF</t>
  </si>
  <si>
    <t>H&amp;H SOLUTION, SRL.</t>
  </si>
  <si>
    <t>Lib. No.998</t>
  </si>
  <si>
    <t>GOB-02-01648</t>
  </si>
  <si>
    <t>Servidor de Almacenamiento Centralizado HPE StoreEasy</t>
  </si>
  <si>
    <t>MXQ83404T6</t>
  </si>
  <si>
    <t>MULTICOMPUTOS, SRL.</t>
  </si>
  <si>
    <t>GOB-02-01649</t>
  </si>
  <si>
    <t>Software de Respaldo de Datos</t>
  </si>
  <si>
    <t>GOB-02-01650</t>
  </si>
  <si>
    <t>Unidad de Cinta HPE (Tape Backup)</t>
  </si>
  <si>
    <t>HUJ824AHMA</t>
  </si>
  <si>
    <t>Lib. No.1947</t>
  </si>
  <si>
    <t>GOB-01-05567</t>
  </si>
  <si>
    <t>Escritorio Tope Melamina y Estructura Metalica Color Silver</t>
  </si>
  <si>
    <t>GOB-01-05568</t>
  </si>
  <si>
    <t>Lib. No.2012</t>
  </si>
  <si>
    <t>GOB-02-01651</t>
  </si>
  <si>
    <t>Impresora HP Multifuncional LaserJet M426FDW PRO 400</t>
  </si>
  <si>
    <t>PHBLL7R446</t>
  </si>
  <si>
    <t>GOB-02-01652</t>
  </si>
  <si>
    <t>Impresora HP Color Multifuncional LaserJet M477FDN PRO MFP</t>
  </si>
  <si>
    <t>VNBKL9PHDY</t>
  </si>
  <si>
    <t>GOB-01-05564</t>
  </si>
  <si>
    <t xml:space="preserve">Máquina Sumadora Sharp EL-2630PIII </t>
  </si>
  <si>
    <t>8D020705</t>
  </si>
  <si>
    <t>GOB-01-05565</t>
  </si>
  <si>
    <t>8D019458</t>
  </si>
  <si>
    <t>GOB-01-05566</t>
  </si>
  <si>
    <t>8D020675</t>
  </si>
  <si>
    <t>Laptop Dell Latitude 5580                        Incluye: Cargador, Dock Station y Bulto.</t>
  </si>
  <si>
    <t>Licencia Microsoft Office STD 2016             Cantidad: 16 Unidades.</t>
  </si>
  <si>
    <t>Control de Acceso Facial Biométrico + Controles de Acceso con Tarjeta.                Incluye: Lectora, Baterias, Botones, Software y Mano de Obra.</t>
  </si>
  <si>
    <t>Sistema de Cámara de Vigilancia CCTV-IP Incluye: DVR 32CH 1080P. Disco Sata 2TB, Cámaras 3.6mm, Fuente, Materiales y Mano de Obra.</t>
  </si>
  <si>
    <t>Zafacón Plástico con Tapa y Rueda.            Rubbernad. Color Amarillo con Negro. 50gl.</t>
  </si>
  <si>
    <t>Aire Acondicionado Inverter de 60,000 BTU Marca: Everwell. Incluye: Toda la ductería y la Instalación de las nueve (9) Unidades Adquiridas.</t>
  </si>
  <si>
    <t>Aire Acondicionado Inverter de 60,000 BTU Marca: Everwell.</t>
  </si>
  <si>
    <t>120 cm Largo x 0.50 cm Ancho x 0.76 cm Altura</t>
  </si>
  <si>
    <r>
      <t xml:space="preserve">Donada al Jóven       </t>
    </r>
    <r>
      <rPr>
        <b/>
        <sz val="9"/>
        <rFont val="Arial"/>
        <family val="2"/>
      </rPr>
      <t>Dalfi De la Cruz</t>
    </r>
  </si>
  <si>
    <t xml:space="preserve">Unidad de Población Clave </t>
  </si>
  <si>
    <t xml:space="preserve">ALMACEN REGIONAL DE
MEDICAMENTOS REGION 0
SANTO DOMINGO
</t>
  </si>
  <si>
    <t xml:space="preserve">ALMACEN REGIONAL DE 
MEDICAMENTOS REGION II
SANTIAGO
</t>
  </si>
  <si>
    <t>San Pedro de Macorís</t>
  </si>
  <si>
    <t>ALMACEN REGIONAL DE 
MEDICAMENTOS REGION IV
SAN P. DE MACORIS</t>
  </si>
  <si>
    <t xml:space="preserve">PRO-FAMILIA
SANTO DOMINGO, GAZCUE
</t>
  </si>
  <si>
    <t xml:space="preserve">ALMACEN REGIONAL DE 
MEDICAMENTOS REGION V
BARAHONA
</t>
  </si>
  <si>
    <t>Lib. 700-1 Subvención</t>
  </si>
  <si>
    <t>GOB-01-05311</t>
  </si>
  <si>
    <t>Sillon Ejecutivo en Tela Color Azul, Mod. LM-329</t>
  </si>
  <si>
    <t>GOB-01-05312</t>
  </si>
  <si>
    <t>Butaca de Visita en Tela Color Azul, Mod. LM-247</t>
  </si>
  <si>
    <t>GOB-01-05313</t>
  </si>
  <si>
    <t>GOB-01-05314</t>
  </si>
  <si>
    <t>Armario Metalico de 2 Puertas, Mod. LM-AM72</t>
  </si>
  <si>
    <t>GOB-01-05315</t>
  </si>
  <si>
    <t>GOB-01-05316</t>
  </si>
  <si>
    <t>Sillon Semi-Ejecutivo en Tela Color Negro, Mod. LM-AZ02</t>
  </si>
  <si>
    <t>GOB-01-05318</t>
  </si>
  <si>
    <t>GOB-01-05319</t>
  </si>
  <si>
    <t>GOB-01-05320</t>
  </si>
  <si>
    <t>GOB-01-05321</t>
  </si>
  <si>
    <t>GOB-01-05322</t>
  </si>
  <si>
    <t>GOB-01-05323</t>
  </si>
  <si>
    <t>DIVERSIDAD DOMINICANA</t>
  </si>
  <si>
    <t>Lib. 713-1 Subvención</t>
  </si>
  <si>
    <t>GOB-02-01517</t>
  </si>
  <si>
    <t>Mini Laptop Acer Aspire E11</t>
  </si>
  <si>
    <t xml:space="preserve">NXMQVAA002431085747600    </t>
  </si>
  <si>
    <t>DIRECCION NAC. DE EMERGENCIAS Y DESASTRES</t>
  </si>
  <si>
    <t>Lib. 94-1 Subvención</t>
  </si>
  <si>
    <t>GOB-02-01529</t>
  </si>
  <si>
    <t>Impresora Multifuncional Toshiba e-Estudio 477s</t>
  </si>
  <si>
    <t>TQFE14534</t>
  </si>
  <si>
    <t>SOLUCIONES TECNOLOGICAS EMPRESARIALES, SRL.</t>
  </si>
  <si>
    <t>GOB-02-01530</t>
  </si>
  <si>
    <t>TQFE14513</t>
  </si>
  <si>
    <t>Lib. 111-1 Subvención</t>
  </si>
  <si>
    <t>GOB-02-01532</t>
  </si>
  <si>
    <t>QS1510271233</t>
  </si>
  <si>
    <t>ASYCTEC, SRL.</t>
  </si>
  <si>
    <t>Lib. 202-1  Subvención</t>
  </si>
  <si>
    <t>GOB-02-01533</t>
  </si>
  <si>
    <t>Laptop Dell Latitude E550</t>
  </si>
  <si>
    <t>GOB-02-01534</t>
  </si>
  <si>
    <t>Laptop Dell Latitude E5550</t>
  </si>
  <si>
    <t>8YCPN32</t>
  </si>
  <si>
    <t>GOB-02-01535</t>
  </si>
  <si>
    <t>HR1BL32</t>
  </si>
  <si>
    <t>GOB-02-01536</t>
  </si>
  <si>
    <t>GOB-02-01537</t>
  </si>
  <si>
    <t>CMWDN32</t>
  </si>
  <si>
    <t>GOB-02-01538</t>
  </si>
  <si>
    <t>GN79L32</t>
  </si>
  <si>
    <t>GOB-02-01539</t>
  </si>
  <si>
    <t>BJMPN32</t>
  </si>
  <si>
    <t>GOB-02-01540</t>
  </si>
  <si>
    <t>1SJPN32</t>
  </si>
  <si>
    <t>Lib. 853-1  Subvención</t>
  </si>
  <si>
    <t>GOB-02-01541</t>
  </si>
  <si>
    <t>Impresora Multifuncional HP Laser Jet M521 DN</t>
  </si>
  <si>
    <t>CNB7J7G4SB</t>
  </si>
  <si>
    <t>FL BETANCES &amp; ASOCIADOS, SRL.</t>
  </si>
  <si>
    <t>GOB-01-05325</t>
  </si>
  <si>
    <t>Calculadora Sumadora Sharp EL2630PIII de 12 Digitos</t>
  </si>
  <si>
    <t>6D026355</t>
  </si>
  <si>
    <t>GOB-01-05326</t>
  </si>
  <si>
    <t xml:space="preserve">Trituradora Power SHRED H-7C de Corte Cruzado de 7 Hojas </t>
  </si>
  <si>
    <t>H7C160715QA0099303</t>
  </si>
  <si>
    <t>GOB-01-05327</t>
  </si>
  <si>
    <t>H7C160715QA0099304</t>
  </si>
  <si>
    <t>GOB-01-05328</t>
  </si>
  <si>
    <t>H7C160715QA0099358</t>
  </si>
  <si>
    <t>Lib. No.138-1</t>
  </si>
  <si>
    <t xml:space="preserve">Impresora Multifuncional HP LaserJet M521DN Pro 500  </t>
  </si>
  <si>
    <t>CNB7J59FZF</t>
  </si>
  <si>
    <t>Lib. No.183-1</t>
  </si>
  <si>
    <t>Software Microsoft Visio Estándar 2016</t>
  </si>
  <si>
    <t>Disco Duro Interno de 1 TB Seagate Sata</t>
  </si>
  <si>
    <t>Monitor Plano AOC 24" LCD/LED 1080P</t>
  </si>
  <si>
    <t>F55GBBA000493</t>
  </si>
  <si>
    <t>Protectora de Cheques PayMaster de 9 Digitos</t>
  </si>
  <si>
    <t>16443A9</t>
  </si>
  <si>
    <t xml:space="preserve">Cuadro Pintura de Mario Davalos    </t>
  </si>
  <si>
    <t xml:space="preserve">Porta Saco en Caoba     </t>
  </si>
  <si>
    <t xml:space="preserve">Credenza de 4 Gavetas en Caoba    </t>
  </si>
  <si>
    <t xml:space="preserve">Aire Acondicionado de 5 Toneladas     Marca Conformarker de 60,000 BTU. </t>
  </si>
  <si>
    <t>2202A68510 / 2102E29974</t>
  </si>
  <si>
    <t xml:space="preserve">Estante en Pino Tratado de 4 Niveles    </t>
  </si>
  <si>
    <t xml:space="preserve">Estante en Pino Tratado de 5 Niveles    </t>
  </si>
  <si>
    <t xml:space="preserve">Mesa para Telefono en Caoba  </t>
  </si>
  <si>
    <t xml:space="preserve">Archivo Vertical de 3 Gavetas     </t>
  </si>
  <si>
    <t>Camioneta Nissan Frontier, Blanca, 2005</t>
  </si>
  <si>
    <t>SANTO DOMINGO MOTORS</t>
  </si>
  <si>
    <t xml:space="preserve">Impresora HP LaserJet 1320      </t>
  </si>
  <si>
    <t xml:space="preserve">CNBC49R56H    </t>
  </si>
  <si>
    <t>OFICINA UNIVERSAL, S.A.</t>
  </si>
  <si>
    <t>DELTA COMERCIAL, C. X A.</t>
  </si>
  <si>
    <t>Mesa Tipo Picnic Plegable (Cant. 8) y (40) Sillas Plegadizas</t>
  </si>
  <si>
    <t>PRICE SMART</t>
  </si>
  <si>
    <t>GRUPO VIAMAR</t>
  </si>
  <si>
    <t xml:space="preserve">Impresora Matricial Epson LX-300-II   </t>
  </si>
  <si>
    <t xml:space="preserve">G8DY374693  </t>
  </si>
  <si>
    <t>Central Telefónica</t>
  </si>
  <si>
    <t>DVD Supersonic SD-23 / USB</t>
  </si>
  <si>
    <t>230511000474</t>
  </si>
  <si>
    <t>YASMIN HERRERA / AMS COMPUTER SUPPLY</t>
  </si>
  <si>
    <t>Base Area para TV KPM-870</t>
  </si>
  <si>
    <t>FLORISTERIA LA PRIMAVERA, C X A.</t>
  </si>
  <si>
    <t>Archivo Metalico Vertical de 4 Gaveta, Color Crema</t>
  </si>
  <si>
    <t>28x26x52</t>
  </si>
  <si>
    <t>ACTUALIDADES VD.</t>
  </si>
  <si>
    <t>Ck. 4000</t>
  </si>
  <si>
    <t>Aire Acondicionado Tipo Split Invert Lennox de 24,000 BTU</t>
  </si>
  <si>
    <t>UNIREFRI, S.R.L.</t>
  </si>
  <si>
    <t>Ck. 4206</t>
  </si>
  <si>
    <t>A0VB235575</t>
  </si>
  <si>
    <t>Transf. 237</t>
  </si>
  <si>
    <t>MUEBLES OMAR / Leticia Coss</t>
  </si>
  <si>
    <t>Silla Secretarial sin Brazos Karen. Tapizado en Malla y Asiento en Tela Negra</t>
  </si>
  <si>
    <t>Escritorio Space con Tope de Cristal Martillado. Dimensión: 28 x 48.</t>
  </si>
  <si>
    <t>Silla de Visita Mod. 55 en Tela Negra</t>
  </si>
  <si>
    <t>B &amp; H MOBILIARIO, SRL. / Leticia Coss</t>
  </si>
  <si>
    <t>Sillón Gerencial Semi-Piel y Malla Negra</t>
  </si>
  <si>
    <t>Gabinete Aéreo en Madera Prensadas</t>
  </si>
  <si>
    <t>IKEA. / Leticia Coss</t>
  </si>
  <si>
    <t>Cuadro de Pared. Dimensión 53 x 53 x 3.8</t>
  </si>
  <si>
    <t>ALMACENES UNIDOS. / Leticia Coss</t>
  </si>
  <si>
    <t>Estanteria Aerea en Madera Prensadas. Mod. Kallax</t>
  </si>
  <si>
    <t>Armario Mediano en Madera Prenzadas. Para Impresora y Suministro.</t>
  </si>
  <si>
    <t>Total Año 2001</t>
  </si>
  <si>
    <t>Total Año 2002</t>
  </si>
  <si>
    <t>Total Año 2003</t>
  </si>
  <si>
    <t>Total Año 2004</t>
  </si>
  <si>
    <t>Impresora HP LaserJet P2035.           Incluye: Cable USB 2.0</t>
  </si>
  <si>
    <t>VNB3B17987</t>
  </si>
  <si>
    <t xml:space="preserve">Maura Gricelda Javier Contreras   </t>
  </si>
  <si>
    <t>DPS - MONTE PLATA</t>
  </si>
  <si>
    <t>VNB3B17763</t>
  </si>
  <si>
    <t>Pedro Mauricio Martínez Ogando</t>
  </si>
  <si>
    <t>DPS - SAN JUAN DE LA MAGUANA</t>
  </si>
  <si>
    <t>VNB3G55459</t>
  </si>
  <si>
    <t xml:space="preserve">Nelson Rafael González González  </t>
  </si>
  <si>
    <t>DPS - AZUA</t>
  </si>
  <si>
    <t>VNB3D18508</t>
  </si>
  <si>
    <t>Carmen Damarys Restituyo Gómez</t>
  </si>
  <si>
    <t>DPS - LA VEGA</t>
  </si>
  <si>
    <t>UPS Omega 600VA con Regulador</t>
  </si>
  <si>
    <t>Disco Duro Externo Samsung 320GB 2.5 M2 USB - BLACK</t>
  </si>
  <si>
    <t>E2DMJJ0B900110</t>
  </si>
  <si>
    <t>Juan Carlos De los Santos</t>
  </si>
  <si>
    <t>E2DMJJ0B908114</t>
  </si>
  <si>
    <t>E2DMJJ0B903754</t>
  </si>
  <si>
    <t>Hermes Meccarielo</t>
  </si>
  <si>
    <t>Disco Duro Externo Samsung 320GB 2.5 M2 USB - BLUE</t>
  </si>
  <si>
    <t>E26RJQ0B100047</t>
  </si>
  <si>
    <t>Ivelisse Sabbath</t>
  </si>
  <si>
    <t>E26RJQ0B100043</t>
  </si>
  <si>
    <t>E26RJQ0B100052</t>
  </si>
  <si>
    <t>Ck. 11</t>
  </si>
  <si>
    <t xml:space="preserve">CPU: H3F0YR1 / MONITOR: CN-046NYG-64180-213-20TS </t>
  </si>
  <si>
    <t>CPU: H3GZXR1 / MONITOR: CN-046NYG-64180-213-20US</t>
  </si>
  <si>
    <t>CPU: H3HZXR1 / MONITOR: CN-046NYG-64180-213-215S</t>
  </si>
  <si>
    <t>CPU: H3L0YR1 / MONITOR: CN-046NYG-64180-213-218S</t>
  </si>
  <si>
    <t>CPU: H3L1YR1 / MONITOR: CN-046NYG-64180-213-21CS</t>
  </si>
  <si>
    <t>Ck. 14</t>
  </si>
  <si>
    <t>Proyector Portatil Viewsonic,                 Mod. PJD5223</t>
  </si>
  <si>
    <t>SV115115435</t>
  </si>
  <si>
    <t>SV115115460</t>
  </si>
  <si>
    <t xml:space="preserve">Ck. 16 </t>
  </si>
  <si>
    <t xml:space="preserve">Laptop Lenovo Thinkpad Edge E520 1143D7U. </t>
  </si>
  <si>
    <t>R9-LAF46</t>
  </si>
  <si>
    <t>Jisela Quiterio</t>
  </si>
  <si>
    <t>R9-LAF48</t>
  </si>
  <si>
    <t>R9-LAF6E</t>
  </si>
  <si>
    <t>R9-LAF6Y</t>
  </si>
  <si>
    <t>R9-LAF62</t>
  </si>
  <si>
    <t>R9-LAF7E</t>
  </si>
  <si>
    <t>R9-LAF72</t>
  </si>
  <si>
    <t>R9-LAF76</t>
  </si>
  <si>
    <t>Ck. 16</t>
  </si>
  <si>
    <t>Impresora HP Láser Jet ENT 500 COL M551DN</t>
  </si>
  <si>
    <t>CNBCD3818J</t>
  </si>
  <si>
    <t>CNBCD3818L</t>
  </si>
  <si>
    <t>Quilvio Feliz Ramírez</t>
  </si>
  <si>
    <t>DIR. DES. Y FORT. DE LAS DPS / DDF-DPS</t>
  </si>
  <si>
    <t xml:space="preserve">5CD14143RR       </t>
  </si>
  <si>
    <t>SERVICIO REGIONAL DE SALUD METROPOLITANO, D.N.</t>
  </si>
  <si>
    <t>5CD14143X3</t>
  </si>
  <si>
    <t>5CD14143WP</t>
  </si>
  <si>
    <t>5CD14143TC</t>
  </si>
  <si>
    <t>5CD14143W7</t>
  </si>
  <si>
    <t>Ck. 23</t>
  </si>
  <si>
    <t>Armario en Metal Vertical 16 x 36 x 72" Color Crema</t>
  </si>
  <si>
    <t>Mesa Auxiliar 39 x 18" Mod. LQ-103 Color Haya, Tres Gaveta y Llavin</t>
  </si>
  <si>
    <t>Trituradora de Papel GBC, Mod. Stylet, Color Crema</t>
  </si>
  <si>
    <t>0112100459</t>
  </si>
  <si>
    <t>0112100031</t>
  </si>
  <si>
    <t>Departamento de Adquisiciones</t>
  </si>
  <si>
    <t>Ck. 256</t>
  </si>
  <si>
    <t>Ck. 260</t>
  </si>
  <si>
    <t>Sillon Ejecutivo en Piel, Color Negro, con Espaldar en Malla, Sistema Giratorio y Brazos</t>
  </si>
  <si>
    <t>LEON G, S.R.L.</t>
  </si>
  <si>
    <t>2HS6CZ1</t>
  </si>
  <si>
    <t>Ck. 297</t>
  </si>
  <si>
    <t>Inversor AL PII 1.5KW 120VA 12VDC y Cuatro Baterías Trojan Roja T105 6VDC.  Incluye: Kit de Materiales de Instalación</t>
  </si>
  <si>
    <t>A33181</t>
  </si>
  <si>
    <t>Freddy Emilio Ferrera Bautista</t>
  </si>
  <si>
    <t>DPS - BONAO</t>
  </si>
  <si>
    <t>SUENNA ELECTRONICA</t>
  </si>
  <si>
    <t>Ck. 300</t>
  </si>
  <si>
    <t>C2CC23337</t>
  </si>
  <si>
    <t>Ck. 311</t>
  </si>
  <si>
    <t>Cámara Digital Sony Cyber Shot DSC W730 16.1 mp</t>
  </si>
  <si>
    <t>S011042278A</t>
  </si>
  <si>
    <t>Olfa Elizabeth De León</t>
  </si>
  <si>
    <t>DPS - SAN CRISTOBAL</t>
  </si>
  <si>
    <t>COMPU-OFFICE DOMINICANA, S.R.L.</t>
  </si>
  <si>
    <t xml:space="preserve"> S011042279B</t>
  </si>
  <si>
    <t>Jose Francisco Ramón Ortiz Martinez</t>
  </si>
  <si>
    <t>DPS - COTUI</t>
  </si>
  <si>
    <t>S011025676D</t>
  </si>
  <si>
    <t>S0110256808</t>
  </si>
  <si>
    <t>Teresa Maria Rojas Guzman</t>
  </si>
  <si>
    <t>S011025677E</t>
  </si>
  <si>
    <t>Magdalena González Ortiz</t>
  </si>
  <si>
    <t>Ck. 315</t>
  </si>
  <si>
    <t>Proyector Epson PowerLite S12+ 2800 ANSI LUMER. Incluye Bulto</t>
  </si>
  <si>
    <t>PSPK3604007</t>
  </si>
  <si>
    <t>Arelis Cayetano Romano</t>
  </si>
  <si>
    <t>DAS - AREA VII              HERRERA / STO. DGO.</t>
  </si>
  <si>
    <t>PSPK3604013</t>
  </si>
  <si>
    <t>PSPK3604014</t>
  </si>
  <si>
    <t>Francis Duval De la Rosa</t>
  </si>
  <si>
    <t>PSPK3603911</t>
  </si>
  <si>
    <t>PSPK3603921</t>
  </si>
  <si>
    <t>PSPK3603930</t>
  </si>
  <si>
    <t>UPS OMEGA 650VA con Regulador de Voltaje</t>
  </si>
  <si>
    <t>111309303845</t>
  </si>
  <si>
    <t>111309303846</t>
  </si>
  <si>
    <t>Luisa Carolina Gonzalez</t>
  </si>
  <si>
    <t>DPS - SAN JOSE OCOA</t>
  </si>
  <si>
    <t>111309303847</t>
  </si>
  <si>
    <t>Francisco Alejandro Feliz</t>
  </si>
  <si>
    <t>DPS - ELIAS PIÑA</t>
  </si>
  <si>
    <t>111309303848</t>
  </si>
  <si>
    <t>111309303849</t>
  </si>
  <si>
    <t>111309303850</t>
  </si>
  <si>
    <t>111309303852</t>
  </si>
  <si>
    <t>111309303989</t>
  </si>
  <si>
    <t>111309303990</t>
  </si>
  <si>
    <t>111309303991</t>
  </si>
  <si>
    <t>111309303992</t>
  </si>
  <si>
    <t>Memoria 32GB USB 2.0 Kingston</t>
  </si>
  <si>
    <t>Ck. 320</t>
  </si>
  <si>
    <t>Impresora HP LaserJet Mono P1606DN</t>
  </si>
  <si>
    <t>VND3F33198</t>
  </si>
  <si>
    <t>FL BETANCES Y ASOCIADOS, SRL</t>
  </si>
  <si>
    <t>VND3F33200</t>
  </si>
  <si>
    <t>Leónidas Altagracia Santana Santana</t>
  </si>
  <si>
    <t>DPS - PERAVIA BANI</t>
  </si>
  <si>
    <t>VND3F33201</t>
  </si>
  <si>
    <t>VND3F33202</t>
  </si>
  <si>
    <t>VND3F33203</t>
  </si>
  <si>
    <t>VND3F33204</t>
  </si>
  <si>
    <t>VND3F34030</t>
  </si>
  <si>
    <t>VND3F34035</t>
  </si>
  <si>
    <t>VND3F34036</t>
  </si>
  <si>
    <t>VND3F34037</t>
  </si>
  <si>
    <t>Pantalla de Proyección Klipx 120" Tripode</t>
  </si>
  <si>
    <t>Mod. AC120KLX08</t>
  </si>
  <si>
    <t>Ck. 347</t>
  </si>
  <si>
    <t>Computador HP Pro-3500 Microtower. Incluye: Monitor HP LV1911 LED 18.5"</t>
  </si>
  <si>
    <t>CPU: MXL40417KZ / MONITOR: 6CM34525PZ</t>
  </si>
  <si>
    <t>CPU: MXL40417L6 / MONITOR: 6CM34527MO</t>
  </si>
  <si>
    <t>CPU: MXL40417LJ / MONITOR: 6CM34525Q3</t>
  </si>
  <si>
    <t>CPU: MXL40417L7 / MONITOR: 6CM34527M4</t>
  </si>
  <si>
    <t>CPU: MXL40417L0 / MONITOR: 6CM34525QG</t>
  </si>
  <si>
    <t>CPU: MXL40417L8 / MONITOR: 6CM34527M5</t>
  </si>
  <si>
    <t>CPU: MXL40417L2 / MONITOR: 6CM34525QF</t>
  </si>
  <si>
    <t>CPU: MXL40417LG / MONITOR: 6CM34527LN</t>
  </si>
  <si>
    <t>CPU: MXL40417L5 / MONITOR: 6CM34525PX</t>
  </si>
  <si>
    <t>CPU: MXL40417LB / MONITOR: 6CM34527LP</t>
  </si>
  <si>
    <t>2CE3420B8H</t>
  </si>
  <si>
    <t>2CE3420B47</t>
  </si>
  <si>
    <t>2CE3420B3W</t>
  </si>
  <si>
    <t>2CE3420B90</t>
  </si>
  <si>
    <t>2CE3420B6K</t>
  </si>
  <si>
    <t>2CE3420B3H</t>
  </si>
  <si>
    <t>2CE3420B87</t>
  </si>
  <si>
    <t>2CE3420B6V</t>
  </si>
  <si>
    <t>Lic. Yoel Mieses</t>
  </si>
  <si>
    <t>Prensa y Relaciones Públicas</t>
  </si>
  <si>
    <t>UPS APC Smart-UPS RT 6000VA,           Modelo: SURTD6000RMXLP3U.</t>
  </si>
  <si>
    <t>Barahona, SAI</t>
  </si>
  <si>
    <t>Santo Domingo, D.N</t>
  </si>
  <si>
    <t>Area de Esparcimiento</t>
  </si>
  <si>
    <t>Fotocopiadora Multifuncional MPF Toshiba e-Studio 2505F 25ppm. Incluye: Toner Black.</t>
  </si>
  <si>
    <t>Rosalba Karina</t>
  </si>
  <si>
    <t>COMUNIDAD DE LESBIANAS INCLUSIVAS DOMINICANAS</t>
  </si>
  <si>
    <t>APC Power Modulo 200/208V                      LX-4KVA P/UPS. Incluye: 20 Bateria de 12Voltio e Instalación.</t>
  </si>
  <si>
    <t>Correspondencia     Eugenia Rosario</t>
  </si>
  <si>
    <t>Gerencia Técnica      Kenia Mejía</t>
  </si>
  <si>
    <t>Unidad de Tecnología   Junior Medina</t>
  </si>
  <si>
    <t>Unidad Población Clave                         Betzaida Villeta</t>
  </si>
  <si>
    <t>Consultoria Juridica   Sabrina Gil</t>
  </si>
  <si>
    <t>Prensa y Relaciones Pública                    Vianco Martinez</t>
  </si>
  <si>
    <t>Gestión a los Servicios de Salud                 Maria Rodriguez</t>
  </si>
  <si>
    <t>Consultoria Juridica   Sonia Rodriguez</t>
  </si>
  <si>
    <t>Unidad de Tecnologia</t>
  </si>
  <si>
    <t>Gestión a los Servicios de Salud                      Iris García</t>
  </si>
  <si>
    <t>Depto. Adquisiciones  Isabel Orozco</t>
  </si>
  <si>
    <t>Gerencia Técnica   Cleotilde Peña</t>
  </si>
  <si>
    <t>Planificación y Desarrollo                Gloria Peña</t>
  </si>
  <si>
    <t>Consultoria Juridica    Pilar Taveras</t>
  </si>
  <si>
    <t>Gestión a los Servicios de Salud                  Maria Castillo</t>
  </si>
  <si>
    <t>Depto. Adquisiciones  Virgina Melo</t>
  </si>
  <si>
    <t>Gerencia Técnica     Ivelisse Sabbagh</t>
  </si>
  <si>
    <t>A0VB373434</t>
  </si>
  <si>
    <t>Unidad de Tecnología   Cuarto de Servidores</t>
  </si>
  <si>
    <t>Prensa y Relaciones Pública                           Pedro Canela</t>
  </si>
  <si>
    <t>Gerencia Técnica         Generoso Castillo</t>
  </si>
  <si>
    <t>Coordinación Financiera  Aurora Moquete</t>
  </si>
  <si>
    <t>Unidad de Población Clave                   Humberto Lopez</t>
  </si>
  <si>
    <t>Coordinación Financiera  Ingrid Melo</t>
  </si>
  <si>
    <t>Gerencia Técnica            Nurys Amador</t>
  </si>
  <si>
    <t>Unidad de Población Clave</t>
  </si>
  <si>
    <t>Instalado</t>
  </si>
  <si>
    <t>Planificación y Desarrollo   Nelson Belisario</t>
  </si>
  <si>
    <t>Planificación y Desarrollo  Noemi Encarnación</t>
  </si>
  <si>
    <t>Gerencia Técnica       Karina Reyes</t>
  </si>
  <si>
    <t xml:space="preserve">Oficina de Acesso a la Información             Santiago de Aza               </t>
  </si>
  <si>
    <t>Unidad de Población Clave                         Ramón Acevedo</t>
  </si>
  <si>
    <t>Controles Internos       Yoel Mieses</t>
  </si>
  <si>
    <t>Prensa y Relaciones Pública                 Santiago de Aza</t>
  </si>
  <si>
    <t>Gerencia Técnica       Yadira Medina</t>
  </si>
  <si>
    <t>Coordinacioón Financiera           Welinton Mora</t>
  </si>
  <si>
    <t>Planificación y Desarrollo           Noemi Encarnación</t>
  </si>
  <si>
    <t>Controles Internos     Yoel Mieses</t>
  </si>
  <si>
    <t>Ante Despacho Dirección Ejecutiva     Gisela Garcia</t>
  </si>
  <si>
    <t>Gerencia Técnica    Rosa Sanchez</t>
  </si>
  <si>
    <t xml:space="preserve">Centrifuga de 48 Tubos CENLBN-800ML </t>
  </si>
  <si>
    <t xml:space="preserve">Autoclave Eléctrico de 50 Litros UTKBS-50V </t>
  </si>
  <si>
    <t xml:space="preserve">Autoclave Eléctrico de 30 Litros UTKBS-30V </t>
  </si>
  <si>
    <t>Nevera Freezer para Muestras BIOBASE</t>
  </si>
  <si>
    <t>Nevera Freezer para Muestras Revco Thermo</t>
  </si>
  <si>
    <t>Falta</t>
  </si>
  <si>
    <t>Silla / Taburete para Laboratorio Clínico</t>
  </si>
  <si>
    <t>CD3-18060131</t>
  </si>
  <si>
    <t>Centrifuga de 24 Tubos de 5-15ml ALREADY. Mod.DSC-302SD</t>
  </si>
  <si>
    <t>CD3-18060133</t>
  </si>
  <si>
    <t>Mezclador Hematológico de 15 Tubos ALREADY</t>
  </si>
  <si>
    <t>SM1-18110252</t>
  </si>
  <si>
    <t>Mezclador de Tubos Tipo Vórtex BOEKEL</t>
  </si>
  <si>
    <t>Termómetro Calibrado de Temperatura.Capacidad: -30 a 30 grado celsio.FZ80-1</t>
  </si>
  <si>
    <t>Nevera FARCO para Reactivos 21.5" con Puerta de Cristal.</t>
  </si>
  <si>
    <t>Soporte P/7 para Pipetas Socorex</t>
  </si>
  <si>
    <t>Reloj de Laboratorio (TIMER) de 1 Hora</t>
  </si>
  <si>
    <t>Ck. 26096</t>
  </si>
  <si>
    <t>Santo Domingo, D.N. Región 0 de Salud</t>
  </si>
  <si>
    <t>Servicio Regional 0 (Sto.Dgo.)</t>
  </si>
  <si>
    <t>San Pedro de Macoris, Región V de Salud</t>
  </si>
  <si>
    <t>Servicio Regional V (Este)</t>
  </si>
  <si>
    <t>DMR202G01H00-05-01808</t>
  </si>
  <si>
    <t>DMR202G01H00-05-01811</t>
  </si>
  <si>
    <t>DMR202G01H00-05-01812</t>
  </si>
  <si>
    <t>DMR202G01H00-05-01813</t>
  </si>
  <si>
    <t>DMR202G01H00-05-01814</t>
  </si>
  <si>
    <t>DMR202G01H00-05-01815</t>
  </si>
  <si>
    <t>DMR202G01H00-05-01816</t>
  </si>
  <si>
    <t>DMR202G01H00-05-01817</t>
  </si>
  <si>
    <t>DMR202G01H00-05-01819</t>
  </si>
  <si>
    <t>DMR202G01H00-05-01820</t>
  </si>
  <si>
    <t>DMR202G01H00-05-01822</t>
  </si>
  <si>
    <t>DMR202G01H00-02-01660</t>
  </si>
  <si>
    <t>Ante-Despacho</t>
  </si>
  <si>
    <t>Oficina Libre Acceso a la Información</t>
  </si>
  <si>
    <t xml:space="preserve"> Herme Macarielo Comunicaciones</t>
  </si>
  <si>
    <t>Vianco Martinez</t>
  </si>
  <si>
    <t>Pensa y Relaciones Públicas</t>
  </si>
  <si>
    <t>Almacén (20) Monitores Financiero (3). Coord. Admtva. (2). Población Clave (2).</t>
  </si>
  <si>
    <t>Total Año 2019</t>
  </si>
  <si>
    <t>Lib. No.521-1</t>
  </si>
  <si>
    <t>Laptop Apple Macbook Pro 13.3". Incluye: Teclado y Mouse Apple Magic Inalámbrico.</t>
  </si>
  <si>
    <t>Lib. No.523-1</t>
  </si>
  <si>
    <t>Scanner Fujitsu Scan Snap iX1500</t>
  </si>
  <si>
    <t>C06H006710</t>
  </si>
  <si>
    <t>C06H006703</t>
  </si>
  <si>
    <t>C06H006679</t>
  </si>
  <si>
    <t>Proyector Epson PowerLite S39 3300 Lúmenes</t>
  </si>
  <si>
    <t>Lib. No.599-1</t>
  </si>
  <si>
    <t>Impresora HP LaserJet Pro 400 Color MFP M477FD. Multifuncional.</t>
  </si>
  <si>
    <t>VNBKL9PHCF</t>
  </si>
  <si>
    <t>Unidad Población Clave</t>
  </si>
  <si>
    <t>GOB-02-01693</t>
  </si>
  <si>
    <t>GOB-02-01694</t>
  </si>
  <si>
    <t>GOB-02-01695</t>
  </si>
  <si>
    <t>GOB-02-01696</t>
  </si>
  <si>
    <t>GOB-02-01697</t>
  </si>
  <si>
    <t>GOB-02-01698</t>
  </si>
  <si>
    <t>GOB-02-01699</t>
  </si>
  <si>
    <t>GOB-01-05348</t>
  </si>
  <si>
    <t>GOB-01-05349</t>
  </si>
  <si>
    <t>GOB-02-01587</t>
  </si>
  <si>
    <t>GOB-01-05352</t>
  </si>
  <si>
    <t>GOB-01-05353</t>
  </si>
  <si>
    <t>GOB-02-01597</t>
  </si>
  <si>
    <t>GOB-02-01598</t>
  </si>
  <si>
    <t>GOB-02-01599</t>
  </si>
  <si>
    <t>GOB-02-01600</t>
  </si>
  <si>
    <t>GOB-02-01601</t>
  </si>
  <si>
    <t>GOB-02-01602</t>
  </si>
  <si>
    <t>GOB-02-01603</t>
  </si>
  <si>
    <t>GOB-02-01604</t>
  </si>
  <si>
    <t>GOB-02-01605</t>
  </si>
  <si>
    <t>GOB-02-01606</t>
  </si>
  <si>
    <t>GOB-02-01607</t>
  </si>
  <si>
    <t>GOB-02-01608</t>
  </si>
  <si>
    <t>GOB-02-01609</t>
  </si>
  <si>
    <t>GOB-02-01610</t>
  </si>
  <si>
    <t>GOB-02-01611</t>
  </si>
  <si>
    <t>GOB-02-01612</t>
  </si>
  <si>
    <t>GOB-02-01613</t>
  </si>
  <si>
    <t>GOB-01-05351</t>
  </si>
  <si>
    <t>GOB-01-05354</t>
  </si>
  <si>
    <t>GOB-01-05355</t>
  </si>
  <si>
    <t>GOB-01-05356</t>
  </si>
  <si>
    <t>GOB-01-05357</t>
  </si>
  <si>
    <t>GOB-01-05358</t>
  </si>
  <si>
    <t>GOB-01-05359</t>
  </si>
  <si>
    <t>GOB-01-05360</t>
  </si>
  <si>
    <t>GOB-01-05361</t>
  </si>
  <si>
    <t>GOB-01-05362</t>
  </si>
  <si>
    <t>GOB-01-05363</t>
  </si>
  <si>
    <t>GOB-01-05364</t>
  </si>
  <si>
    <t>GOB-01-05368</t>
  </si>
  <si>
    <t>GOB-01-05369</t>
  </si>
  <si>
    <t>GOB-01-05370</t>
  </si>
  <si>
    <t>GOB-01-05365</t>
  </si>
  <si>
    <t>GOB-01-05366</t>
  </si>
  <si>
    <t>GOB-01-05367</t>
  </si>
  <si>
    <t>GOB-01-05371</t>
  </si>
  <si>
    <t>GOB-01-05372</t>
  </si>
  <si>
    <t>GOB-01-05373</t>
  </si>
  <si>
    <t>GOB-01-05374</t>
  </si>
  <si>
    <t>GOB-01-05375</t>
  </si>
  <si>
    <t>GOB-01-05376</t>
  </si>
  <si>
    <t>GOB-01-05377</t>
  </si>
  <si>
    <t>GOB-01-05378</t>
  </si>
  <si>
    <t>GOB-01-05379</t>
  </si>
  <si>
    <t>GOB-01-05380</t>
  </si>
  <si>
    <t>GOB-01-05381</t>
  </si>
  <si>
    <t>GOB-01-05382</t>
  </si>
  <si>
    <t>GOB-01-05383</t>
  </si>
  <si>
    <t>GOB-01-05384</t>
  </si>
  <si>
    <t>GOB-01-05385</t>
  </si>
  <si>
    <t>GOB-01-05386</t>
  </si>
  <si>
    <t>GOB-01-05387</t>
  </si>
  <si>
    <t>GOB-01-05388</t>
  </si>
  <si>
    <t>GOB-01-05389</t>
  </si>
  <si>
    <t>GOB-01-05390</t>
  </si>
  <si>
    <t>GOB-01-05391</t>
  </si>
  <si>
    <t>GOB-01-05392</t>
  </si>
  <si>
    <t>GOB-01-05393</t>
  </si>
  <si>
    <t>GOB-01-05394</t>
  </si>
  <si>
    <t>GOB-01-05395</t>
  </si>
  <si>
    <t>GOB-01-05396</t>
  </si>
  <si>
    <t>GOB-01-05397</t>
  </si>
  <si>
    <t>GOB-01-05398</t>
  </si>
  <si>
    <t>GOB-01-05399</t>
  </si>
  <si>
    <t>GOB-01-05400</t>
  </si>
  <si>
    <t>GOB-01-05401</t>
  </si>
  <si>
    <t>GOB-01-05402</t>
  </si>
  <si>
    <t>GOB-01-05403</t>
  </si>
  <si>
    <t>GOB-01-05404</t>
  </si>
  <si>
    <t>GOB-01-05405</t>
  </si>
  <si>
    <t>GOB-01-05406</t>
  </si>
  <si>
    <t>GOB-02-01615</t>
  </si>
  <si>
    <t>GOB-02-01616</t>
  </si>
  <si>
    <t>GOB-02-01617</t>
  </si>
  <si>
    <t>GOB-02-01618</t>
  </si>
  <si>
    <t>GOB-02-01619</t>
  </si>
  <si>
    <t>GOB-02-01620</t>
  </si>
  <si>
    <t>GOB-02-01621</t>
  </si>
  <si>
    <t>GOB-02-01622</t>
  </si>
  <si>
    <t>GOB-02-01623</t>
  </si>
  <si>
    <t>GOB-02-01624</t>
  </si>
  <si>
    <t>GOB-02-01625</t>
  </si>
  <si>
    <t>GOB-02-01626</t>
  </si>
  <si>
    <t>GOB-02-01627</t>
  </si>
  <si>
    <t>GOB-02-01628</t>
  </si>
  <si>
    <t>GOB-02-01629</t>
  </si>
  <si>
    <t>GOB-02-01630</t>
  </si>
  <si>
    <t>GOB-02-01631</t>
  </si>
  <si>
    <t>GOB-02-01632</t>
  </si>
  <si>
    <t>GOB-02-01633</t>
  </si>
  <si>
    <t>GOB-02-01634</t>
  </si>
  <si>
    <t>GOB-01-05407</t>
  </si>
  <si>
    <t>GOB-01-05408</t>
  </si>
  <si>
    <t>GOB-01-05409</t>
  </si>
  <si>
    <t>GOB-01-05410</t>
  </si>
  <si>
    <t>GOB-01-05411</t>
  </si>
  <si>
    <t>GOB-01-05412</t>
  </si>
  <si>
    <t>GOB-01-05413</t>
  </si>
  <si>
    <t>GOB-01-05414</t>
  </si>
  <si>
    <t>GOB-01-05415</t>
  </si>
  <si>
    <t>GOB-01-05416</t>
  </si>
  <si>
    <t>GOB-01-05417</t>
  </si>
  <si>
    <t>GOB-01-05418</t>
  </si>
  <si>
    <t>GOB-01-05419</t>
  </si>
  <si>
    <t>GOB-01-05420</t>
  </si>
  <si>
    <t>GOB-01-05421</t>
  </si>
  <si>
    <t>GOB-01-05422</t>
  </si>
  <si>
    <t>GOB-01-05423</t>
  </si>
  <si>
    <t>GOB-01-05424</t>
  </si>
  <si>
    <t>GOB-01-05425</t>
  </si>
  <si>
    <t>GOB-01-05426</t>
  </si>
  <si>
    <t>GOB-01-05427</t>
  </si>
  <si>
    <t>GOB-01-05428</t>
  </si>
  <si>
    <t>GOB-01-05429</t>
  </si>
  <si>
    <t>GOB-01-05430</t>
  </si>
  <si>
    <t>GOB-01-05431</t>
  </si>
  <si>
    <t>GOB-01-05432</t>
  </si>
  <si>
    <t>GOB-01-05433</t>
  </si>
  <si>
    <t>GOB-01-05434</t>
  </si>
  <si>
    <t>GOB-01-05435</t>
  </si>
  <si>
    <t>GOB-01-05436</t>
  </si>
  <si>
    <t>GOB-01-05437</t>
  </si>
  <si>
    <t>GOB-01-05438</t>
  </si>
  <si>
    <t>GOB-01-05439</t>
  </si>
  <si>
    <t>GOB-01-05440</t>
  </si>
  <si>
    <t>GOB-01-05441</t>
  </si>
  <si>
    <t>GOB-01-05442</t>
  </si>
  <si>
    <t>GOB-01-05443</t>
  </si>
  <si>
    <t>GOB-01-05444</t>
  </si>
  <si>
    <t>GOB-01-05445</t>
  </si>
  <si>
    <t>GOB-01-05446</t>
  </si>
  <si>
    <t>GOB-01-05447</t>
  </si>
  <si>
    <t>GOB-01-05448</t>
  </si>
  <si>
    <t>GOB-01-05449</t>
  </si>
  <si>
    <t>GOB-01-05450</t>
  </si>
  <si>
    <t>GOB-03-00043</t>
  </si>
  <si>
    <t>GOB-03-00044</t>
  </si>
  <si>
    <t>GOB-03-00046</t>
  </si>
  <si>
    <t>GOB-02-01635</t>
  </si>
  <si>
    <t>GOB-03-00045</t>
  </si>
  <si>
    <t>Vicente Noble</t>
  </si>
  <si>
    <t>GOB-02-01586</t>
  </si>
  <si>
    <t>GOB-02-01585</t>
  </si>
  <si>
    <t>GOB-02-01584</t>
  </si>
  <si>
    <t>GOB-02-01583</t>
  </si>
  <si>
    <t xml:space="preserve">Correspondencia / Eugenia Rosario </t>
  </si>
  <si>
    <t xml:space="preserve">  Central Telefónica   UTIC</t>
  </si>
  <si>
    <t>GOB-01-01389</t>
  </si>
  <si>
    <t>GOB-01-01379</t>
  </si>
  <si>
    <t>GOB-01-01388</t>
  </si>
  <si>
    <t>GOB-01-01376</t>
  </si>
  <si>
    <t>GOB-01-01391</t>
  </si>
  <si>
    <t>GOB-01-01393</t>
  </si>
  <si>
    <t>KT000229038530</t>
  </si>
  <si>
    <t xml:space="preserve">Radio Portatil Philips  </t>
  </si>
  <si>
    <t>GOB-01-01403</t>
  </si>
  <si>
    <t>GOB-01-01386</t>
  </si>
  <si>
    <t>GOB-01-01378</t>
  </si>
  <si>
    <t xml:space="preserve">Armario Vertical de 2 Puertas en Caoba </t>
  </si>
  <si>
    <t>GOB-01-01402</t>
  </si>
  <si>
    <t>GOB-01-01405</t>
  </si>
  <si>
    <t>GOB-01-01669</t>
  </si>
  <si>
    <t>GOB-03-00017</t>
  </si>
  <si>
    <t>GOB-03-00031</t>
  </si>
  <si>
    <t>GOB-03-00018</t>
  </si>
  <si>
    <t>GOB-02-00943</t>
  </si>
  <si>
    <t>Mesa de Centro en Caoba</t>
  </si>
  <si>
    <t>Ante Despacho/Gisela Garcia</t>
  </si>
  <si>
    <t>GOB-01-02907</t>
  </si>
  <si>
    <t>GOB-01-00485</t>
  </si>
  <si>
    <t>GOB-02-01516</t>
  </si>
  <si>
    <t xml:space="preserve">Gerencia Técnica / Nurys Amador </t>
  </si>
  <si>
    <t>GOB-01-05329</t>
  </si>
  <si>
    <t xml:space="preserve">Gerencia Técnica / Kenia Mejia </t>
  </si>
  <si>
    <t>GOB-01-05330</t>
  </si>
  <si>
    <t>GOB-01-05331</t>
  </si>
  <si>
    <t>Gerencia Técnica / Generoso Castillo</t>
  </si>
  <si>
    <t>GOB-01-05332</t>
  </si>
  <si>
    <t>GOB-01-05333</t>
  </si>
  <si>
    <t>GOB-01-05334</t>
  </si>
  <si>
    <t>GOB-01-05336</t>
  </si>
  <si>
    <t>GOB-01-05337</t>
  </si>
  <si>
    <t>GOB-01-05335</t>
  </si>
  <si>
    <t>GOB-01-05338</t>
  </si>
  <si>
    <t>GOB-01-05339</t>
  </si>
  <si>
    <t>GOB-01-05340</t>
  </si>
  <si>
    <t>GOB-01-05341</t>
  </si>
  <si>
    <t>GOB-01-05342</t>
  </si>
  <si>
    <t>GOB-01-05343</t>
  </si>
  <si>
    <t>GOB-01-05344</t>
  </si>
  <si>
    <t>GOB-01-05345</t>
  </si>
  <si>
    <t>GOB-01-05346</t>
  </si>
  <si>
    <t>GOB-01-05347</t>
  </si>
  <si>
    <t>GOB-01-01813</t>
  </si>
  <si>
    <t>GOB-01-05057</t>
  </si>
  <si>
    <t>GOB-01-05058</t>
  </si>
  <si>
    <t>GOB-01-05145</t>
  </si>
  <si>
    <t>GOB-03-00016</t>
  </si>
  <si>
    <t>GOB-02-00366</t>
  </si>
  <si>
    <t xml:space="preserve">        CIPESA             Patricia Diaz</t>
  </si>
  <si>
    <t xml:space="preserve">       UTIC                         Cuarto de Servidores  </t>
  </si>
  <si>
    <t>CDC-02-01174</t>
  </si>
  <si>
    <t>CDC-02-01175</t>
  </si>
  <si>
    <t>CDC-02-01176</t>
  </si>
  <si>
    <t>CDC-02-01177</t>
  </si>
  <si>
    <t>CDC-02-01179</t>
  </si>
  <si>
    <t>CDC-02-01180</t>
  </si>
  <si>
    <t>CDC-02-01181</t>
  </si>
  <si>
    <t>CDC-02-01182</t>
  </si>
  <si>
    <t>CDC-02-01184</t>
  </si>
  <si>
    <t>CDC-02-01185</t>
  </si>
  <si>
    <t>CDC-02-01186</t>
  </si>
  <si>
    <t>CDC-02-01187</t>
  </si>
  <si>
    <t>CDC-02-01215</t>
  </si>
  <si>
    <t>CDC-01-05148</t>
  </si>
  <si>
    <t>CDC-02-05150</t>
  </si>
  <si>
    <t>CDC-01-05151</t>
  </si>
  <si>
    <t>CDC-01-05152</t>
  </si>
  <si>
    <t>CDC-01-05153</t>
  </si>
  <si>
    <t>CDC-01-05154</t>
  </si>
  <si>
    <t>CDC-02-01420</t>
  </si>
  <si>
    <t>CDC-02-01421</t>
  </si>
  <si>
    <t>CDC-02-01422</t>
  </si>
  <si>
    <t>CDC-02-01423</t>
  </si>
  <si>
    <t>CDC-02-01424</t>
  </si>
  <si>
    <t>CDC-02-01425</t>
  </si>
  <si>
    <t>CDC-02-01426</t>
  </si>
  <si>
    <t>CDC-02-01427</t>
  </si>
  <si>
    <t>CDC-02-01428</t>
  </si>
  <si>
    <t>CDC-02-01429</t>
  </si>
  <si>
    <t>CDC-02-01430</t>
  </si>
  <si>
    <t>CDC-02-01431</t>
  </si>
  <si>
    <t>CDC-02-01432</t>
  </si>
  <si>
    <t>CDC-02-01433</t>
  </si>
  <si>
    <t>CDC-02-01434</t>
  </si>
  <si>
    <t>CDC-02-01435</t>
  </si>
  <si>
    <t>CDC-02-01436</t>
  </si>
  <si>
    <t>CDC-02-01437</t>
  </si>
  <si>
    <t>CDC-02-01438</t>
  </si>
  <si>
    <t>CDC-02-01439</t>
  </si>
  <si>
    <t>CDC-02-01440</t>
  </si>
  <si>
    <t>CDC-02-01441</t>
  </si>
  <si>
    <t>CDC-02-01442</t>
  </si>
  <si>
    <t>CDC-02-01443</t>
  </si>
  <si>
    <t>CDC-02-01444</t>
  </si>
  <si>
    <t>CDC-02-01445</t>
  </si>
  <si>
    <t>CDC-02-01446</t>
  </si>
  <si>
    <t>CDC-02-01447</t>
  </si>
  <si>
    <t>CDC-02-01448</t>
  </si>
  <si>
    <t>CDC-02-01449</t>
  </si>
  <si>
    <t>CDC-02-01450</t>
  </si>
  <si>
    <t>CDC-02-01451</t>
  </si>
  <si>
    <t>CDC-02-01470</t>
  </si>
  <si>
    <t>CDC-02-01471</t>
  </si>
  <si>
    <t>CDC-02-01472</t>
  </si>
  <si>
    <t>CDC-02-01474</t>
  </si>
  <si>
    <t>CDC-02-01475</t>
  </si>
  <si>
    <t>CDC-02-01476</t>
  </si>
  <si>
    <t>CDC-02-01452</t>
  </si>
  <si>
    <t>CDC-02-01453</t>
  </si>
  <si>
    <t>CDC-02-01454</t>
  </si>
  <si>
    <t>CDC-02-01455</t>
  </si>
  <si>
    <t>CDC-02-01456</t>
  </si>
  <si>
    <t>CDC-02-01457</t>
  </si>
  <si>
    <t>CDC-02-01458</t>
  </si>
  <si>
    <t>CDC-02-01459</t>
  </si>
  <si>
    <t>CDC-02-01460</t>
  </si>
  <si>
    <t>CDC-02-01461</t>
  </si>
  <si>
    <t>CDC-02-01462</t>
  </si>
  <si>
    <t>CDC-02-01463</t>
  </si>
  <si>
    <t>CDC-02-01464</t>
  </si>
  <si>
    <t>CDC-02-01465</t>
  </si>
  <si>
    <t>CDC-02-01466</t>
  </si>
  <si>
    <t>CDC-02-01467</t>
  </si>
  <si>
    <t>CDC-02-01468</t>
  </si>
  <si>
    <t>CDC-02-01469</t>
  </si>
  <si>
    <t>Direcciones Provinciales de Salud.</t>
  </si>
  <si>
    <t>Laptop Hp Pro-Book 440 G1.                   Incluye: Bulto.</t>
  </si>
  <si>
    <t>Servidor Dell Power Edge R720             Incluye: Licencia de los Software</t>
  </si>
  <si>
    <t>Laptop HP Mini 110-3830nr.                    Incluye: Office 2010, Norton y Garantía Extendida HP.</t>
  </si>
  <si>
    <t>Computador (NE) Dell Optiplex 990 MT  Monitor Flat Dell 19” E1912H, Black Tarjeta de Red CNET CWP-906 W-PCI</t>
  </si>
  <si>
    <t>CDC-01-01538</t>
  </si>
  <si>
    <t>CDC-01-01539</t>
  </si>
  <si>
    <t>CDC-01-01542</t>
  </si>
  <si>
    <t>CDC-01-01543</t>
  </si>
  <si>
    <t>CDC-01-01544</t>
  </si>
  <si>
    <t>Unidad de Tecnología      Vilma Peralta</t>
  </si>
  <si>
    <t>HOSPITAL NTRA. SRA. DE REGLA - BANI</t>
  </si>
  <si>
    <t>HOSP. MUN. VILLA FUNDACION - BANI</t>
  </si>
  <si>
    <t>Yulissa Caguesano</t>
  </si>
  <si>
    <t xml:space="preserve">HOSP. ANTONIO YAPOR HEDED / NAGUA </t>
  </si>
  <si>
    <t>DMR202G01H00-01-04199</t>
  </si>
  <si>
    <t>DMR202G01H00-01-04198</t>
  </si>
  <si>
    <t>DMR202G01H00-01-04196</t>
  </si>
  <si>
    <t>Ck. 26612</t>
  </si>
  <si>
    <t>Ck. 26691</t>
  </si>
  <si>
    <t>Ck. 26792</t>
  </si>
  <si>
    <t>DMR202G01H00-02-01700</t>
  </si>
  <si>
    <t>Licencia de Enrolado. Incluye 7 Unidades de BIO PLUGIN PC LICENSE.                   (Cantidad: 8,000 Licencias)</t>
  </si>
  <si>
    <t>Juan Jose Escaño (Enc. De Activos SNS)</t>
  </si>
  <si>
    <t>SERVICIO NACIONAL DE SALUD (SNS)</t>
  </si>
  <si>
    <t>SEDECORP</t>
  </si>
  <si>
    <t>DMR202G01H00-02-01701</t>
  </si>
  <si>
    <t>Impresora Térmica Epson TM-T88V (3599)</t>
  </si>
  <si>
    <t>X6TT002361</t>
  </si>
  <si>
    <t>DMR202G01H00-02-01702</t>
  </si>
  <si>
    <t>MXKF881392</t>
  </si>
  <si>
    <t>DMR202G01H00-02-01703</t>
  </si>
  <si>
    <t>MXKF886032</t>
  </si>
  <si>
    <t>DMR202G01H00-02-01704</t>
  </si>
  <si>
    <t>MXKF886026</t>
  </si>
  <si>
    <t>DMR202G01H00-02-01705</t>
  </si>
  <si>
    <t>MXKF886022</t>
  </si>
  <si>
    <t>DMR202G01H00-02-01706</t>
  </si>
  <si>
    <t>MXKF886023</t>
  </si>
  <si>
    <t>DMR202G01H00-02-01707</t>
  </si>
  <si>
    <t>Kit de Desarrollo Biométrico Avanzado M2SYS</t>
  </si>
  <si>
    <t>M2SEH5419060191</t>
  </si>
  <si>
    <t>DMR202G01H00-02-01708</t>
  </si>
  <si>
    <t>M2SEH5419060193</t>
  </si>
  <si>
    <t>DMR202G01H00-02-01709</t>
  </si>
  <si>
    <t>M2SEH5419060200</t>
  </si>
  <si>
    <t>DMR202G01H00-02-01710</t>
  </si>
  <si>
    <t>M2SEH5419060192</t>
  </si>
  <si>
    <t>DMR202G01H00-02-01711</t>
  </si>
  <si>
    <t>M2SEH5419060196</t>
  </si>
  <si>
    <t>DMR202G01H00-02-01712</t>
  </si>
  <si>
    <t>M2SEH5419060198</t>
  </si>
  <si>
    <t>DMR202G01H00-02-01729</t>
  </si>
  <si>
    <t>Laptop Dell Latitude 5490. Incluye: Bulto y Licencia de Office 2019.</t>
  </si>
  <si>
    <t>PC OUTLET STORE, SRL.</t>
  </si>
  <si>
    <t>DMR202G01H00-02-01730</t>
  </si>
  <si>
    <t>DMR202G01H00-02-01713</t>
  </si>
  <si>
    <t>Computador Dell Optiplex 3050. Incluye: Monitor y Mouse.</t>
  </si>
  <si>
    <t>CPU: F42F9T2   MONITOR: BQ68HS2</t>
  </si>
  <si>
    <t>DMR202G01H00-02-01714</t>
  </si>
  <si>
    <t>CPU: GP5F9T2  MONITOR: 2S68HS2</t>
  </si>
  <si>
    <t>DMR202G01H00-02-01715</t>
  </si>
  <si>
    <t>CPU: GPQC9T2   MONITOR: G4274S2</t>
  </si>
  <si>
    <t>DMR202G01H00-02-01716</t>
  </si>
  <si>
    <t>CPU: GP5C9T2  MONITOR: GR68HS2</t>
  </si>
  <si>
    <t>DMR202G01H00-02-01717</t>
  </si>
  <si>
    <t>CPU: F45F9T2  MONITOR: 3JTPK62</t>
  </si>
  <si>
    <t>DMR202G01H00-02-01718</t>
  </si>
  <si>
    <t>CPU: F4BD9T2  MONITOR: 7S68H52</t>
  </si>
  <si>
    <t>DMR202G01H00-02-01719</t>
  </si>
  <si>
    <t>CPU: 7TZ18N2  MONITOR: FQ68HS2</t>
  </si>
  <si>
    <t>DMR202G01H00-02-01720</t>
  </si>
  <si>
    <t>CPU: F46D9T2 MONITOR: 95274S2</t>
  </si>
  <si>
    <t>DMR202G01H00-02-01721</t>
  </si>
  <si>
    <t>UPS FORZA 500VA</t>
  </si>
  <si>
    <t>170712510093</t>
  </si>
  <si>
    <t>DMR202G01H00-02-01722</t>
  </si>
  <si>
    <t>180612504090</t>
  </si>
  <si>
    <t>180612504091</t>
  </si>
  <si>
    <t>DMR202G01H00-02-01724</t>
  </si>
  <si>
    <t>180612504092</t>
  </si>
  <si>
    <t>DMR202G01H00-02-01725</t>
  </si>
  <si>
    <t>190412500553</t>
  </si>
  <si>
    <t>DMR202G01H00-02-01726</t>
  </si>
  <si>
    <t>190412500554</t>
  </si>
  <si>
    <t>DMR202G01H00-02-01727</t>
  </si>
  <si>
    <t>190412500555</t>
  </si>
  <si>
    <t>DMR202G01H00-02-01728</t>
  </si>
  <si>
    <t>190412500556</t>
  </si>
  <si>
    <t>Lib. No.648-1</t>
  </si>
  <si>
    <t>Lib. No.688-1</t>
  </si>
  <si>
    <t>Lib. No.1279-1</t>
  </si>
  <si>
    <t>Lib. No.1310-1</t>
  </si>
  <si>
    <t>Lib. No.1838-1</t>
  </si>
  <si>
    <t>Lib. No.1834-1</t>
  </si>
  <si>
    <t>Lib. No.1845-1</t>
  </si>
  <si>
    <t>Lib. No.1864-1</t>
  </si>
  <si>
    <t>Lib. No.1872-1</t>
  </si>
  <si>
    <t>GOBDOM-02-01733</t>
  </si>
  <si>
    <t>Licencia Soporte de Backup Exec. 12 Meses. Cantidad: 02 Licencias Renovada.</t>
  </si>
  <si>
    <t>GOBDOM-04-00115</t>
  </si>
  <si>
    <t>Grabadora Olympus DM-720</t>
  </si>
  <si>
    <t>GOBDOM-04-00116</t>
  </si>
  <si>
    <t>Microfono USB Studio Condesador Marantz Professional MPM-1000U</t>
  </si>
  <si>
    <t>LPNRR688557253</t>
  </si>
  <si>
    <t>GOBDOM-02-01734</t>
  </si>
  <si>
    <t>Apple Ipad 6th Generación 128GB Wifi 9.7in Erly 2018</t>
  </si>
  <si>
    <t>SGG7X9SU2JF8M</t>
  </si>
  <si>
    <t>GOBDOM-02-01735</t>
  </si>
  <si>
    <t>SGG7XX4DTJF8M</t>
  </si>
  <si>
    <t>Prensa y Relaciones Públicas                      Sugey de Jesús</t>
  </si>
  <si>
    <t>GOBDOM-02-01736</t>
  </si>
  <si>
    <t>Impresora HP LaserJet Pro M281FDW Color. Multifuncional.</t>
  </si>
  <si>
    <t>VNBNM173MS</t>
  </si>
  <si>
    <t>GOBDOM-01-05581</t>
  </si>
  <si>
    <t>Sillón Ejecutivo en Pielina Negra y Base Niquelada.</t>
  </si>
  <si>
    <t>LEON GONZALEZ, S.R.L</t>
  </si>
  <si>
    <t>GOBDOM-01-05582</t>
  </si>
  <si>
    <t>GOBDOM-01-05583</t>
  </si>
  <si>
    <t>Unidad de Adquisiciones    Gisselle Otero</t>
  </si>
  <si>
    <t>GOBDOM-01-05584</t>
  </si>
  <si>
    <t>GOBDOM-01-05585</t>
  </si>
  <si>
    <t>GOBDOM-01-05586</t>
  </si>
  <si>
    <t>Butaca de Visita en Pielina Negra y Base Cromada</t>
  </si>
  <si>
    <t>Gerencia Técnica       Rosa Sánchez</t>
  </si>
  <si>
    <t>GOBDOM-01-05587</t>
  </si>
  <si>
    <t>GOBDOM-01-05588</t>
  </si>
  <si>
    <t>GOBDOM-01-05589</t>
  </si>
  <si>
    <t>GOBDOM-01-05590</t>
  </si>
  <si>
    <t>Estante Tipo Librero con Puerta Baja en Melamina.</t>
  </si>
  <si>
    <t>GOBDOM-01-05591</t>
  </si>
  <si>
    <t>GOBDOM-01-05592</t>
  </si>
  <si>
    <t>Escritorio en Melamina con Gavetas 100x50cm</t>
  </si>
  <si>
    <t>GOBDOM-01-05593</t>
  </si>
  <si>
    <t>GOBDOM-01-05594</t>
  </si>
  <si>
    <t>Escritorio en Melamina y Base Metálica 140x70cm</t>
  </si>
  <si>
    <t>GOBDOM-01-05595</t>
  </si>
  <si>
    <t>Sillón Técnico Secretarial en Malla y Soporte Lumbar y Color Negro</t>
  </si>
  <si>
    <t>Ante-Despacho                   Gisela García</t>
  </si>
  <si>
    <t>GOBDOM-01-05596</t>
  </si>
  <si>
    <t>GOBDOM-01-05597</t>
  </si>
  <si>
    <t>GOBDOM-01-05598</t>
  </si>
  <si>
    <t>Gestión Humana           José Gutierrez</t>
  </si>
  <si>
    <t>GOBDOM-01-05599</t>
  </si>
  <si>
    <t>GOBDOM-01-05600</t>
  </si>
  <si>
    <t>Prensa y Relaciones Públicas                        Pedro Canela</t>
  </si>
  <si>
    <t>GOBDOM-01-05601</t>
  </si>
  <si>
    <t>Unidad Correspondencia  Eugenia Rosario</t>
  </si>
  <si>
    <t>GOBDOM-01-05602</t>
  </si>
  <si>
    <t>GOBDOM-01-05603</t>
  </si>
  <si>
    <t>Unidad Población Clave  Raziel Zayas</t>
  </si>
  <si>
    <t>GOBDOM-01-05604</t>
  </si>
  <si>
    <t>GOBDOM-01-05605</t>
  </si>
  <si>
    <t>Coord Administrativa         Tatis Contreras</t>
  </si>
  <si>
    <t>GOBDOM-01-05606</t>
  </si>
  <si>
    <t>Coord Administrativa         Kisaury Pichardo</t>
  </si>
  <si>
    <t>GOBDOM-01-05607</t>
  </si>
  <si>
    <t>Coord Administrativa         Pascacio Toribio</t>
  </si>
  <si>
    <t>GOBDOM-01-05608</t>
  </si>
  <si>
    <t>GOBDOM-01-05609</t>
  </si>
  <si>
    <t>GOBDOM-01-05610</t>
  </si>
  <si>
    <t>Unidad de Adquisiciones     Virginia Melo</t>
  </si>
  <si>
    <t>GOBDOM-01-05611</t>
  </si>
  <si>
    <t>GOBDOM-01-05612</t>
  </si>
  <si>
    <t>Coordinación Financiera    Welinton Mora</t>
  </si>
  <si>
    <t>GOBDOM-01-05613</t>
  </si>
  <si>
    <t>Coordinación Financiera   Aurora Moquete</t>
  </si>
  <si>
    <t>GOBDOM-01-05614</t>
  </si>
  <si>
    <t>Coordinación Financiera   Katiuska Romero</t>
  </si>
  <si>
    <t>GOBDOM-01-05615</t>
  </si>
  <si>
    <t>Coordinación Financiera   Indhira Popoteur</t>
  </si>
  <si>
    <t>GOBDOM-01-05616</t>
  </si>
  <si>
    <t>Unidad de Tecnología      Miguel Garcia</t>
  </si>
  <si>
    <t>GOBDOM-01-05617</t>
  </si>
  <si>
    <t>Monitores Financieros   José Santana</t>
  </si>
  <si>
    <t>GOBDOM-04-00117</t>
  </si>
  <si>
    <t>207GHTWJ40D54926</t>
  </si>
  <si>
    <t xml:space="preserve">Monitores Financieros   </t>
  </si>
  <si>
    <t>GOBDOM-04-00118</t>
  </si>
  <si>
    <t>207GHTWJ40D54927</t>
  </si>
  <si>
    <t>GOBDOM-04-00119</t>
  </si>
  <si>
    <t>207GHWYJ7004D810</t>
  </si>
  <si>
    <t>GOBDOM-04-00120</t>
  </si>
  <si>
    <t>207GHWYJ7004D811</t>
  </si>
  <si>
    <t>GOBDOM-04-00121</t>
  </si>
  <si>
    <t>207GHWYJ7004D813</t>
  </si>
  <si>
    <t>GOBDOM-04-00122</t>
  </si>
  <si>
    <t>207GHWYJ7004D819</t>
  </si>
  <si>
    <t>GOBDOM-04-00123</t>
  </si>
  <si>
    <t>207GHWYJ7004D80A</t>
  </si>
  <si>
    <t>GOBDOM-04-00124</t>
  </si>
  <si>
    <t>207GHWYJ7004D80E</t>
  </si>
  <si>
    <t>GOBDOM-01-05618</t>
  </si>
  <si>
    <t>Archivo Lateral Metálico de 4 Gavetas.  Color Gris. 16 x 36 x 52.5</t>
  </si>
  <si>
    <t>Gestión Humana          Angela Muñoz</t>
  </si>
  <si>
    <t>GOBDOM-05-01826</t>
  </si>
  <si>
    <t xml:space="preserve">Termohigómetro Digital Noeteck V20. </t>
  </si>
  <si>
    <t>Mod. NTK026</t>
  </si>
  <si>
    <t>Lourdes Odalis Tejeda</t>
  </si>
  <si>
    <t>ALMACEN REGIONAL DE MEDICAMENTOS REGION VI - SJM</t>
  </si>
  <si>
    <t>ROMFER OFFICE STORE, SRL.</t>
  </si>
  <si>
    <t>GOBDOM-05-01827</t>
  </si>
  <si>
    <t>GOBDOM-05-01828</t>
  </si>
  <si>
    <t>GOBDOM-05-01829</t>
  </si>
  <si>
    <t>GOBDOM-05-01830</t>
  </si>
  <si>
    <t>GOBDOM-05-01831</t>
  </si>
  <si>
    <t>Nurys Trinidad</t>
  </si>
  <si>
    <t>ALMACEN REGIONAL DE MEDICAMENTOS REGION V - SPM</t>
  </si>
  <si>
    <t>GOBDOM-05-01832</t>
  </si>
  <si>
    <t>GOBDOM-05-01833</t>
  </si>
  <si>
    <t>Botiquin de Primeros Auxilios First Aid 250 PCs</t>
  </si>
  <si>
    <t>Mod. Portátil</t>
  </si>
  <si>
    <t>GOBDOM-05-01834</t>
  </si>
  <si>
    <t>GOBDOM-02-01737</t>
  </si>
  <si>
    <t>GOBDOM-01-05619</t>
  </si>
  <si>
    <t>Carro Transportador de Cajas Plegables</t>
  </si>
  <si>
    <t>AVG COMERCIAL, SRL.</t>
  </si>
  <si>
    <t>GOBDOM-01-05620</t>
  </si>
  <si>
    <t>GOBDOM-01-05621</t>
  </si>
  <si>
    <t>Carro Plataforma P/Transp. De Cajas</t>
  </si>
  <si>
    <t>GOBDOM-01-05622</t>
  </si>
  <si>
    <t>GOBDOM-01-05623</t>
  </si>
  <si>
    <t>GOBDOM-01-05624</t>
  </si>
  <si>
    <t>GOBDOM-01-05625</t>
  </si>
  <si>
    <t>GOBDOM-01-05626</t>
  </si>
  <si>
    <t>Extintores Portátil de Polvo Químico - Carga 2.5kg</t>
  </si>
  <si>
    <t>Extintor Portátil Polvo Químico - 2.5kg</t>
  </si>
  <si>
    <t>GOBDOM-01-05627</t>
  </si>
  <si>
    <t>GOBDOM-01-05628</t>
  </si>
  <si>
    <t>GOBDOM-01-05629</t>
  </si>
  <si>
    <t>GOBDOM-01-05630</t>
  </si>
  <si>
    <t>GOBDOM-01-05631</t>
  </si>
  <si>
    <t>Extintores CO2 Portátil - Carga de 5KG</t>
  </si>
  <si>
    <t>GOBDOM-01-05632</t>
  </si>
  <si>
    <t>GOBDOM-01-05633</t>
  </si>
  <si>
    <t>Mesa Plegable de Resina + 2 Sillas</t>
  </si>
  <si>
    <t>GOBDOM-01-05634</t>
  </si>
  <si>
    <t>GOBDOM-01-05635</t>
  </si>
  <si>
    <t>Zafacón Plástico con Tapa y Rueda. Capacidad: 50 Galones.</t>
  </si>
  <si>
    <t>GOBDOM-01-05636</t>
  </si>
  <si>
    <t>GOBDOM-01-05637</t>
  </si>
  <si>
    <t>GOBDOM-01-05638</t>
  </si>
  <si>
    <t>GOBDOM-01-05639</t>
  </si>
  <si>
    <t>Señalizaciones de Seguridad. (10 Uds.)</t>
  </si>
  <si>
    <t>GOBDOM-01-05640</t>
  </si>
  <si>
    <t>Pizarra Blanca con Marco de Aluminio. Incluye: Marcadores.</t>
  </si>
  <si>
    <t>GOBDOM-01-05641</t>
  </si>
  <si>
    <t>Exhibidor Refrigerador FARCO para Reactivos 21.5" con Dos Puerta de Cristal.</t>
  </si>
  <si>
    <t>GOBDOM-05-01835</t>
  </si>
  <si>
    <t>Vitrina para Medicamentos de Dos Cuerpo</t>
  </si>
  <si>
    <t>GOBDOM-05-01836</t>
  </si>
  <si>
    <t>Almacenes Regionales de Medicamentos.</t>
  </si>
  <si>
    <t>Ck. 4641</t>
  </si>
  <si>
    <t>GOBDOM-01-05642</t>
  </si>
  <si>
    <t>Taladro Makita MT de 3/8 350W</t>
  </si>
  <si>
    <t>LA INNOVACION, SRL.</t>
  </si>
  <si>
    <t xml:space="preserve">Lib. 308-1 </t>
  </si>
  <si>
    <t xml:space="preserve">Lib. 345-1 </t>
  </si>
  <si>
    <t xml:space="preserve">Lib. 349-1 </t>
  </si>
  <si>
    <t xml:space="preserve">Lib. 394-1 </t>
  </si>
  <si>
    <t xml:space="preserve">Lib. 400-1 </t>
  </si>
  <si>
    <t xml:space="preserve">Lib. 612-1 </t>
  </si>
  <si>
    <t xml:space="preserve">Lib. 641-1 </t>
  </si>
  <si>
    <t xml:space="preserve">Lib. 645-1 </t>
  </si>
  <si>
    <t xml:space="preserve">Lib. 693-1 </t>
  </si>
  <si>
    <t xml:space="preserve">Lib. 795-1 </t>
  </si>
  <si>
    <t xml:space="preserve">  No hubo compra de activos.</t>
  </si>
  <si>
    <t xml:space="preserve">  Dirección General de Bienes Nacionales.</t>
  </si>
  <si>
    <t>Unidad de Atención Integral</t>
  </si>
  <si>
    <t>HOSPITAL GENERAL POLICIA NACIONAL</t>
  </si>
  <si>
    <t>Unidad de Atención</t>
  </si>
  <si>
    <t>CENTRO DE SALUD INTEGRAL BELLA VISTA / SANTIAGO</t>
  </si>
  <si>
    <t>Unidad de Activos Fijos</t>
  </si>
  <si>
    <t>Modesto Peña</t>
  </si>
  <si>
    <t>ASOCIACION DE AJEDREZ DE BARAHONA</t>
  </si>
  <si>
    <t xml:space="preserve">Chasis: JTFJK02P100002470  Placa: EL00562 </t>
  </si>
  <si>
    <t>Autobus Toyota de 15 Pasajeros, Blanco, Mod. LH202L-REMDE, Año 2006.</t>
  </si>
  <si>
    <t>SERVICIO REGIONAL DE SALUD ENRIQUILLO, REGION IV</t>
  </si>
  <si>
    <t>Jorge Ernesto Méndez Mejía</t>
  </si>
  <si>
    <t>Ck. 27001</t>
  </si>
  <si>
    <t>LABORATORIO CLINICO Hospital Luis L. Bogaert "Mao - Valverde "</t>
  </si>
  <si>
    <t>Paquete de Microsoft Office 2019. Español</t>
  </si>
  <si>
    <t>Impresora Zebra ZD410 Térmica. P/Código de Barras</t>
  </si>
  <si>
    <t>50J193303586</t>
  </si>
  <si>
    <t>2K19410922</t>
  </si>
  <si>
    <t>Lote: 9E01A1</t>
  </si>
  <si>
    <t>Lote: 9242866</t>
  </si>
  <si>
    <t>Lote: 9260565</t>
  </si>
  <si>
    <t>Ck. 27043</t>
  </si>
  <si>
    <t>Votarex Mezclador 0-3000 RPM Thermo</t>
  </si>
  <si>
    <t>ALIANZA SOLIDARIA PARA LA LUCHA CONTRA EL VIH/SIDA (ASOLSIDA)</t>
  </si>
  <si>
    <t>I8KT17020</t>
  </si>
  <si>
    <t>I8KT17024</t>
  </si>
  <si>
    <t>Cronómetro Digital EA</t>
  </si>
  <si>
    <t>Pipeta Automática Finnpipette F3 10-100ul Thermo</t>
  </si>
  <si>
    <t>Autoclave P/Laboratorio Tipo Olla 24L All American</t>
  </si>
  <si>
    <t>F0003201</t>
  </si>
  <si>
    <t>Nevera FARCO para Reactivos 21.5" con 1PTA de Cristal.</t>
  </si>
  <si>
    <t>Lib. No.1067-1</t>
  </si>
  <si>
    <t>GOBDOM-03-00048</t>
  </si>
  <si>
    <t>Bicicleta Aro 20 Tipo Mountain Bike P/Niña</t>
  </si>
  <si>
    <t>MONTVEST SERVICIOS DE INVERSION, SRL.</t>
  </si>
  <si>
    <t>GOBDOM-03-00049</t>
  </si>
  <si>
    <t>Bicicleta Aro 24 Tipo Mountain Bike P/Niño</t>
  </si>
  <si>
    <t>RED DOMINICANA DE PERSONAS QUE VIVEN CON VIH+ (REDOVIH+)</t>
  </si>
  <si>
    <t>Ck. 27096</t>
  </si>
  <si>
    <t>Total Año 2020</t>
  </si>
  <si>
    <t>Centrifuga Digital de 24 Tubo. Mod. DSC-1524SD-2</t>
  </si>
  <si>
    <t>Pipeta Finnpipette F3 1-10ML Thermo Scientific. Mod. 4640070</t>
  </si>
  <si>
    <t>Ref. H1019</t>
  </si>
  <si>
    <t>Ref. E1015</t>
  </si>
  <si>
    <t xml:space="preserve">CD3-19110207 </t>
  </si>
  <si>
    <t>CD3-19110271</t>
  </si>
  <si>
    <t xml:space="preserve">Lote: PH52691 </t>
  </si>
  <si>
    <t>Lote: PH52701</t>
  </si>
  <si>
    <t>BIO-NOVA, SRL.</t>
  </si>
  <si>
    <t>DMR202G01H00-02-01739</t>
  </si>
  <si>
    <t>DMR202G01H00-02-01741</t>
  </si>
  <si>
    <t>DMR202G01H00-02-01742</t>
  </si>
  <si>
    <t>DMR202G01H00-05-01837</t>
  </si>
  <si>
    <t>DMR202G01H00-05-01838</t>
  </si>
  <si>
    <t>DMR202G01H00-05-01839</t>
  </si>
  <si>
    <t>DMR202G01H00-01-05643</t>
  </si>
  <si>
    <t>DMR202G01H00-01-05644</t>
  </si>
  <si>
    <t>DMR202G01H00-05-01840</t>
  </si>
  <si>
    <t>DMR202G01H00-05-01841</t>
  </si>
  <si>
    <t>DMR202G01H00-05-01842</t>
  </si>
  <si>
    <t>DMR202G01H00-05-01843</t>
  </si>
  <si>
    <t>DMR202G01H00-05-01844</t>
  </si>
  <si>
    <t>DMR202G01H00-05-01845</t>
  </si>
  <si>
    <t>DMR202G01H00-05-01848</t>
  </si>
  <si>
    <t>DMR202G01H00-05-01849</t>
  </si>
  <si>
    <t>DMR202G01H00-05-01851</t>
  </si>
  <si>
    <t>DMR202G01H00-05-01853</t>
  </si>
  <si>
    <t>DMR202G01H00-05-01854</t>
  </si>
  <si>
    <t>DMR202G01H00-05-01855</t>
  </si>
  <si>
    <t>DMR202G01H00-05-01856</t>
  </si>
  <si>
    <t>DMR202G01H00-05-01857</t>
  </si>
  <si>
    <t>DMR202G01H00-05-01858</t>
  </si>
  <si>
    <t>DMR202G01H00-05-01859</t>
  </si>
  <si>
    <t>Ck. 27136</t>
  </si>
  <si>
    <t>Lib. No.93-1</t>
  </si>
  <si>
    <t>METRIC TOUCH, S.R.L.</t>
  </si>
  <si>
    <t>Software Adobe Acrobat Pro DC. Cantidad: Dos (02) Licencia. Suscripción Anual. Válida hasta el 27/12/2020.</t>
  </si>
  <si>
    <t>Software Creative Cloud. Cantidad: Dos (02) Licencia. Suscripción Anual. Válida hasta el 27/12/2020.</t>
  </si>
  <si>
    <t>Software Adobe Photoshop. Cantidad: Una (01) Licencia. Suscripción Anual. Válida hasta el 27/12/2020.</t>
  </si>
  <si>
    <t>GOBDOM-02-01743</t>
  </si>
  <si>
    <t>GOBDOM-02-01744</t>
  </si>
  <si>
    <t>GOBDOM-02-01745</t>
  </si>
  <si>
    <t>Ck. 27128 Itbis Caja Chica</t>
  </si>
  <si>
    <t>Lib. No.372-1</t>
  </si>
  <si>
    <t>Lib. No.377-1</t>
  </si>
  <si>
    <t xml:space="preserve">Puntero Laser Logitech (Control Presentador) R500 2.4 Wireless USB. </t>
  </si>
  <si>
    <t>4904U2191205101</t>
  </si>
  <si>
    <t>4904U2191205102</t>
  </si>
  <si>
    <t>4904U2191205107</t>
  </si>
  <si>
    <t>NAB50M96</t>
  </si>
  <si>
    <t>NAB50MYD</t>
  </si>
  <si>
    <t>NAA9VWMA</t>
  </si>
  <si>
    <t>NAA9VY0R</t>
  </si>
  <si>
    <t>Impresora Zebra ZC300 P/Carnet</t>
  </si>
  <si>
    <t>Impresora Zebra ZD410 P/Etiquetas</t>
  </si>
  <si>
    <t>C3J193300666</t>
  </si>
  <si>
    <t>50J192203419</t>
  </si>
  <si>
    <t>9Z2W2Y2</t>
  </si>
  <si>
    <t>4JNC8W2</t>
  </si>
  <si>
    <t>9ZC98W2</t>
  </si>
  <si>
    <t>GVF98W2</t>
  </si>
  <si>
    <t>CPU: C8TX233 Monitor: 5T92SY2</t>
  </si>
  <si>
    <t>Computador Dell Optiplex 3070. Incluye: Mouse, Teclado y Monitor Dell 22" E2216H</t>
  </si>
  <si>
    <t>Monitor Dell 22" P2219H</t>
  </si>
  <si>
    <t>Monitor Dell 24" P2419H</t>
  </si>
  <si>
    <t>Disco Duro Externo Seagate de 1TB USB 3.0</t>
  </si>
  <si>
    <t>Disco Duro Externo Seagate de 2TB USB 3.0</t>
  </si>
  <si>
    <t>Router Nexxt Wireless AC1200 Dual Band. 4 Puertos</t>
  </si>
  <si>
    <t>Teclado Apple y Mouse Mágico Inalámbrico.</t>
  </si>
  <si>
    <t>Computador Dell Optiplex 3070 I5. Incluye: Mouse, Teclado y Monitor Dell</t>
  </si>
  <si>
    <t>GOBDOM-02-01746</t>
  </si>
  <si>
    <t>GOBDOM-02-01747</t>
  </si>
  <si>
    <t>GOBDOM-02-01748</t>
  </si>
  <si>
    <t>GOBDOM-02-01749</t>
  </si>
  <si>
    <t>GOBDOM-02-01750</t>
  </si>
  <si>
    <t>GOBDOM-02-01751</t>
  </si>
  <si>
    <t>GOBDOM-02-01752</t>
  </si>
  <si>
    <t>GOBDOM-02-01753</t>
  </si>
  <si>
    <t>GOBDOM-02-01754</t>
  </si>
  <si>
    <t>GOBDOM-02-01755</t>
  </si>
  <si>
    <t>GOBDOM-02-01756</t>
  </si>
  <si>
    <t>GOBDOM-02-01757</t>
  </si>
  <si>
    <t>GOBDOM-02-01758</t>
  </si>
  <si>
    <t>GOBDOM-02-01759</t>
  </si>
  <si>
    <t>GOBDOM-02-01760</t>
  </si>
  <si>
    <t>GOBDOM-02-01761</t>
  </si>
  <si>
    <t>GOBDOM-02-01762</t>
  </si>
  <si>
    <t>GOBDOM-02-01763</t>
  </si>
  <si>
    <t>GOBDOM-02-01764</t>
  </si>
  <si>
    <t>GOBDOM-02-01765</t>
  </si>
  <si>
    <t>GOBDOM-02-01766</t>
  </si>
  <si>
    <t>GOBDOM-02-01767</t>
  </si>
  <si>
    <t>GOBDOM-02-01768</t>
  </si>
  <si>
    <t>GOBDOM-02-01769</t>
  </si>
  <si>
    <t>GOBDOM-02-01770</t>
  </si>
  <si>
    <t>GOBDOM-02-01771</t>
  </si>
  <si>
    <t>CPU: D1CS9Z2                          Monitor: 9HJ64X</t>
  </si>
  <si>
    <t>CPU: D24R9Z2                           Monitor: FWKTJV2</t>
  </si>
  <si>
    <t>Coordinación Financiera            Benancio Cuevas</t>
  </si>
  <si>
    <t>Gerencia Técnica     Patricia Rivera Torres</t>
  </si>
  <si>
    <t>Gestión a los Servicios de Salud                      Carlos Felix</t>
  </si>
  <si>
    <t>Depto. Adquisiciones  Yesenia Martinez</t>
  </si>
  <si>
    <t>Unidad Transportación Pascasio Toribio</t>
  </si>
  <si>
    <t>Planificación y Desarrollo Ramón Astacio</t>
  </si>
  <si>
    <t>Unidad Población Clave                          Ramón Acevedo</t>
  </si>
  <si>
    <t>Unidad Población Clave                          Magaly Smith</t>
  </si>
  <si>
    <t>Monitores Financieros                José Santana</t>
  </si>
  <si>
    <t>Monitores Financieros           Clara Elena</t>
  </si>
  <si>
    <t>Monitores Financieros             Maria Jaqueline</t>
  </si>
  <si>
    <t>Monitores Financieros                  Eric Laura Salcedo</t>
  </si>
  <si>
    <t>Controles Internos              Carlos Castillo</t>
  </si>
  <si>
    <t>Monitores Financieros    Pedro Montás</t>
  </si>
  <si>
    <t>Gerencia Técnica      Laynier Mieses</t>
  </si>
  <si>
    <t>Director Ejecutivo         Uso Externo</t>
  </si>
  <si>
    <t>Unidad de Tecnología    Miguel Garcia</t>
  </si>
  <si>
    <t>Laptop Lenovo ThinkPad P51                      Incluye: Cargador, Dock Station y Bulto.</t>
  </si>
  <si>
    <t>PF0T6EVS</t>
  </si>
  <si>
    <t xml:space="preserve">CPU: D1NFGX1 MONITOR: CN-0J4413-72201-51R-3D7J </t>
  </si>
  <si>
    <t>Laptop: 1GOZFH2      Monitor: CN-0R16JC-72872-340-F58N</t>
  </si>
  <si>
    <t>CPU: D1HJGX1 MONITOR: CN-0R16JC-72872-345-AEEM</t>
  </si>
  <si>
    <t>CPU: D0SQ9Z2                          Monitor: CN-0R16JC-72872-340-ELVM</t>
  </si>
  <si>
    <t>CPU: D1JHGX1 MONITOR: CN-0N01VP-64180-23A-OUNS</t>
  </si>
  <si>
    <t>CPU: D1HHGX1 MONITOR: CN-00H3PD-72872-07M-0LLS</t>
  </si>
  <si>
    <t>CPU: D1MJGX1 MONITOR: CN-0H3PD-72872-07M-1MRS</t>
  </si>
  <si>
    <t>CPU: D06S9Z2                          Monitor: CN-0R16JC-72872-340-ERFM</t>
  </si>
  <si>
    <t>CPU: D14S9Z2                           Monitor: CN-0R16JC-72872-340-EHMM</t>
  </si>
  <si>
    <t>CPU: D1KKGX1  MONITOR: CN-0R16JC-72872-34S-AE1M</t>
  </si>
  <si>
    <t>CPU: D20Q9Z2                          Monitor: CN-0N0IVP-64180-23H-1MES</t>
  </si>
  <si>
    <t>CPU: D1HFGX1 MONITOR: CN-0R16JC-72872-340-EH7M</t>
  </si>
  <si>
    <t>Laptop: 6H0ZFH2  Monitor: CN-0R16JC-72872-345-AEDM</t>
  </si>
  <si>
    <t>CPU: D1KDGX1 MONITOR:CN-0R16JC-72872-357-C2JM</t>
  </si>
  <si>
    <t>CPU: D1MDGX1 MONITOR: CN-0R16JC-72872-340-EJIM</t>
  </si>
  <si>
    <t>CPU: D1KHGX1 MONITOR: CN-0R16JC-72872-345-ADYM</t>
  </si>
  <si>
    <t>CPU: D1HDGX1 MONITOR: CN-0N0IVP-64180-23H-1LSS</t>
  </si>
  <si>
    <t>CPU: D1LGGX1 MONITOR: CN-0R16JC-72872-340-ERGM</t>
  </si>
  <si>
    <t>CPU: D0CQ9Z2                           Monitor: CN-0R16JC-72872-340-F5CM</t>
  </si>
  <si>
    <t>CPU: D1MCGX1 MONITOR: CN-0R16JC-72872-345-49UM</t>
  </si>
  <si>
    <t>CPU: D1LCGX1 MONITOR: CN-0R16JC-72872-340-F4JM</t>
  </si>
  <si>
    <t>Laptop: 3JVYFH2   Monitor: CN-0R16JC-72872-340-F5PM</t>
  </si>
  <si>
    <t>CPU: D1MHGX1 MONITOR: CN-0R16JC-72872-345-AE7M</t>
  </si>
  <si>
    <t>CPU: D1HKGX1 MONITOR:CN-0R16JC-72872-340-EHDM</t>
  </si>
  <si>
    <t xml:space="preserve">   5K6RPS1 / CN-0N01VP-64180-23H-1LJS</t>
  </si>
  <si>
    <t>CPU: D1JGGX1 MONITOR: CN-0R16JC-72872-345-AFOM</t>
  </si>
  <si>
    <t>Laptop: 6W32NV2   Monitor: CN-0R16JC-72872-340-F54M</t>
  </si>
  <si>
    <t>CPU: D1MFGX1 MONITOR: CN-0R16JC-72872-340-FODM</t>
  </si>
  <si>
    <t>CPU: D1HGGX1 MONITOR: CN-0R16JC-72872-340-CUMM</t>
  </si>
  <si>
    <t>CPU: D1GJGX1 MONITOR: CN-0R16JC-72872-340-EHJM</t>
  </si>
  <si>
    <t>Laptop: BL5BGH2   Monitor: CN-0CC639-72872-643-ERKM</t>
  </si>
  <si>
    <t>Laptop; C02Y35P6JHCD        Monitor: CN-0NO1VP-64180-23H-1MCS</t>
  </si>
  <si>
    <t>5K6KPS1 / CN-00H3PD-72872-07M-1MHS</t>
  </si>
  <si>
    <t>Servicios Generales     Kissairy Pichardo</t>
  </si>
  <si>
    <t>CPU: D1LFGX1 MONITOR: CN-0R16JC-72872-340-F5PM</t>
  </si>
  <si>
    <t>Laptop: HKVYFH2   Monitor: 9HJ64X2</t>
  </si>
  <si>
    <t>Laptop: 7YM18H2    Monitor:8B478V2</t>
  </si>
  <si>
    <t>Laptop: JV3XP12       Monitor: 4VCBKV2</t>
  </si>
  <si>
    <t>Laptop: 2Z71NV2         Monitor: 5N7RCW2</t>
  </si>
  <si>
    <t>Laptop. FGVYFH2       Monitor: CQ7RCW2</t>
  </si>
  <si>
    <t>Laptop: JG3LHC2     Monitor: 4NFTKV2</t>
  </si>
  <si>
    <t>Impresora Copiadora Multifuncional Toshiba e-Studio 206L</t>
  </si>
  <si>
    <t>Unidad de Adquisiciones</t>
  </si>
  <si>
    <t>Pasillo 1er. Nivel Frente a la Cocina</t>
  </si>
  <si>
    <t>Planificación y Desarrollo                                 Nelson Belisario</t>
  </si>
  <si>
    <t>1X7PP12</t>
  </si>
  <si>
    <t>CCG3311660</t>
  </si>
  <si>
    <t>Teléfono Grandstream DP720</t>
  </si>
  <si>
    <t>Base Telefónica IP P/Starvox DP750</t>
  </si>
  <si>
    <t>Unidad de Tecnología     Cuarto de Equipo</t>
  </si>
  <si>
    <t xml:space="preserve">Servidor: 4CBKWG1  </t>
  </si>
  <si>
    <t>Vencida</t>
  </si>
  <si>
    <t>Monitores Financieros  José Santana</t>
  </si>
  <si>
    <t>Gestión Humana                   Angie Muñoz</t>
  </si>
  <si>
    <t>Laptop: J6SKJX1            Monitor: FWKTJV2</t>
  </si>
  <si>
    <t xml:space="preserve">          UTIC                   Tablero de Mando</t>
  </si>
  <si>
    <t>Unidad de Tecnología Vilma Peralta</t>
  </si>
  <si>
    <t>Unidad de Tecnología Cuarto Servidores</t>
  </si>
  <si>
    <t>Prensa y Relaciones Pública / Sugey de Jesús</t>
  </si>
  <si>
    <t>Unidad de Tecnología  Cuarto de Servidores</t>
  </si>
  <si>
    <t>Gestión Servicio de Salud                               Iris Garcias</t>
  </si>
  <si>
    <t>Almacén Yobel</t>
  </si>
  <si>
    <t xml:space="preserve">Maritza Piña   </t>
  </si>
  <si>
    <t>Unidad de Población Clave                              Rancier</t>
  </si>
  <si>
    <t>Unidad de Población Clave                     Waddy Ramirez</t>
  </si>
  <si>
    <t xml:space="preserve">Unidad de Tecnología   </t>
  </si>
  <si>
    <t>Hospitales y Servicios Regionales.</t>
  </si>
  <si>
    <t>Yobel</t>
  </si>
  <si>
    <t xml:space="preserve">Direccion Ejecutiva   </t>
  </si>
  <si>
    <t>CDC-01-04983</t>
  </si>
  <si>
    <t>CDC-01-04984</t>
  </si>
  <si>
    <t>CDC-01-05137</t>
  </si>
  <si>
    <t>Cámara Fotográfica NIKON D7200 16.2 MP Digital SLR Came. Incluye: Pack de 1 Baterias Adicional P/NIKON.</t>
  </si>
  <si>
    <t>X52M913872L</t>
  </si>
  <si>
    <t>Nelson Belisario</t>
  </si>
  <si>
    <t>X52M913802L</t>
  </si>
  <si>
    <t xml:space="preserve">Lic. Gumercindo Cuevas </t>
  </si>
  <si>
    <t xml:space="preserve">Tecnico de Controles de Bienes </t>
  </si>
  <si>
    <t xml:space="preserve">        CONSEJO NACIONAL PARA EL VIH Y EL SIDA</t>
  </si>
  <si>
    <t xml:space="preserve">        INVENTARIODE EQUIPOS Y MOBILIARIOS DE OFICINA - CENTRO DE CONTROL DE ENFERMEDADES - CDC</t>
  </si>
  <si>
    <t xml:space="preserve">         INVENTARIO GENERAL DE EQUIPOS Y MOBILIARIOS DE OFICINA - SUBVENCION DEL GOBIERNO DOMINICANO</t>
  </si>
  <si>
    <t xml:space="preserve">         CONSEJO NACIONAL PARA EL VIH Y EL SIDA</t>
  </si>
  <si>
    <t xml:space="preserve">     Fuente_2:</t>
  </si>
  <si>
    <t xml:space="preserve">Tecnico de Controles de bienes </t>
  </si>
  <si>
    <t xml:space="preserve">INSTITUCIONES </t>
  </si>
  <si>
    <t xml:space="preserve">Lic. Gumercindo Cueva </t>
  </si>
  <si>
    <t>Coordinador Controles Internos</t>
  </si>
  <si>
    <t xml:space="preserve">         INVENTARIO GENERAL DE EQUIPOS Y MOBILIARIOS DE OFICINA - DONACION DEL GOBIERNO DOMINICANO</t>
  </si>
  <si>
    <r>
      <rPr>
        <b/>
        <sz val="10"/>
        <color indexed="10"/>
        <rFont val="Arial"/>
        <family val="2"/>
      </rPr>
      <t xml:space="preserve">        Nota_3:</t>
    </r>
    <r>
      <rPr>
        <b/>
        <sz val="10"/>
        <color indexed="18"/>
        <rFont val="Arial"/>
        <family val="2"/>
      </rPr>
      <t xml:space="preserve"> Los bienes adquiridos en el 2008, fueron descargado a la</t>
    </r>
  </si>
  <si>
    <t>Coordinador. Controles Internos</t>
  </si>
  <si>
    <t xml:space="preserve">Ck. 27001 </t>
  </si>
  <si>
    <t xml:space="preserve">Ck. 23421  ITBIS </t>
  </si>
  <si>
    <t xml:space="preserve">Ck. 23453   ITBIS </t>
  </si>
  <si>
    <r>
      <rPr>
        <b/>
        <sz val="11"/>
        <color indexed="10"/>
        <rFont val="Arial"/>
        <family val="2"/>
      </rPr>
      <t xml:space="preserve">       Nota_2:</t>
    </r>
    <r>
      <rPr>
        <b/>
        <sz val="11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En el año 2016 no hubo compra de activos.</t>
    </r>
  </si>
  <si>
    <t>LIB. No 545-1</t>
  </si>
  <si>
    <t>GOBDOM-02-01772</t>
  </si>
  <si>
    <t xml:space="preserve">Essential 12 montos Renewal for back up Gold Win 1 Front End TB ONPREMISE STANDARD PERPETUAL </t>
  </si>
  <si>
    <t>LICENSE GOV 20693-M3-23</t>
  </si>
  <si>
    <t>Multicomputos, SRL</t>
  </si>
  <si>
    <t>19-Ago-20</t>
  </si>
  <si>
    <t>Lib-670-1</t>
  </si>
  <si>
    <t>GOBDOM-02-01773</t>
  </si>
  <si>
    <t>Disco Duro 300GB 12G 10K rpm Smart Cartridge</t>
  </si>
  <si>
    <t>872475-B21</t>
  </si>
  <si>
    <t>Productive Business Solutions</t>
  </si>
  <si>
    <t>GOBDOM-02-01774</t>
  </si>
  <si>
    <t>Lib.987-1</t>
  </si>
  <si>
    <t>GOBDOM-02-01775</t>
  </si>
  <si>
    <t>Unidad Transportacion</t>
  </si>
  <si>
    <t>Santo Domingo Motors Company, S.A.</t>
  </si>
  <si>
    <t>GOBDOM-02-01776</t>
  </si>
  <si>
    <t>Lib. 1185-1</t>
  </si>
  <si>
    <t>GOBDOM-02-01777</t>
  </si>
  <si>
    <t xml:space="preserve">Microsoft Oficce 365 Bussiness Basic </t>
  </si>
  <si>
    <t>AAA-10264</t>
  </si>
  <si>
    <t>Unidad Tecnologia</t>
  </si>
  <si>
    <t>Lib.1185-1</t>
  </si>
  <si>
    <t>GOBDOM-02-01778</t>
  </si>
  <si>
    <t>POWER BI PRO</t>
  </si>
  <si>
    <t>AAA-13173</t>
  </si>
  <si>
    <t>GOBDOM-02-01779</t>
  </si>
  <si>
    <t>MULTI-DOMAIN SSL CERTIFICATE 3 YEARS Covers 4URLS</t>
  </si>
  <si>
    <t>GOBDOM-02-01780</t>
  </si>
  <si>
    <t>FC-10-0VM02-423-02-12</t>
  </si>
  <si>
    <t>Lib.392</t>
  </si>
  <si>
    <t>8VZQH63</t>
  </si>
  <si>
    <t>8W9H63</t>
  </si>
  <si>
    <t xml:space="preserve">   Tatis Contrera         Coord. Administrativa</t>
  </si>
  <si>
    <t>Polibio Perez Direccion Ejecutiva</t>
  </si>
  <si>
    <t>BVXPH63</t>
  </si>
  <si>
    <t>BVPRH63</t>
  </si>
  <si>
    <t>BWONH63</t>
  </si>
  <si>
    <t>Lib.319</t>
  </si>
  <si>
    <t>Laptop Dell Vostro 3490, color negro</t>
  </si>
  <si>
    <t>CJDHL73</t>
  </si>
  <si>
    <t>Robert Nina Gerencia Tecnica</t>
  </si>
  <si>
    <t>Compu-Office Dominicana, S.R.L.</t>
  </si>
  <si>
    <t>8GQFL73</t>
  </si>
  <si>
    <t>7M2GL73</t>
  </si>
  <si>
    <t xml:space="preserve">Unidad de Tecnologia </t>
  </si>
  <si>
    <t>Laptop Dell Latitude 3510, color negro</t>
  </si>
  <si>
    <t>H289863</t>
  </si>
  <si>
    <t>H489863</t>
  </si>
  <si>
    <t>3T79863</t>
  </si>
  <si>
    <t>C089863</t>
  </si>
  <si>
    <t xml:space="preserve">Damares Mesa Compra y Contrataciones </t>
  </si>
  <si>
    <t>Rosa Sanchez Gerencia Tecnica</t>
  </si>
  <si>
    <t>DMPDJ3URNTJ2</t>
  </si>
  <si>
    <t>Total Año 2021</t>
  </si>
  <si>
    <t>Tablet Aipac Pro Apple,12.9 Pulgada/ Disco Duro 1 TB</t>
  </si>
  <si>
    <r>
      <rPr>
        <b/>
        <sz val="11"/>
        <color indexed="10"/>
        <rFont val="Arial"/>
        <family val="2"/>
      </rPr>
      <t xml:space="preserve">  Nota_2:</t>
    </r>
    <r>
      <rPr>
        <b/>
        <sz val="10"/>
        <color indexed="18"/>
        <rFont val="Arial"/>
        <family val="2"/>
      </rPr>
      <t xml:space="preserve"> En los Años del 2015 al 2021 no hubo compra de activos.</t>
    </r>
  </si>
  <si>
    <r>
      <rPr>
        <b/>
        <sz val="10"/>
        <color indexed="10"/>
        <rFont val="Arial"/>
        <family val="2"/>
      </rPr>
      <t xml:space="preserve">     Nota_2:</t>
    </r>
    <r>
      <rPr>
        <b/>
        <sz val="10"/>
        <color indexed="18"/>
        <rFont val="Arial"/>
        <family val="2"/>
      </rPr>
      <t xml:space="preserve"> En los Años, 2018, 2019 , 2020 y 2021 no hubo compra de activos.</t>
    </r>
  </si>
  <si>
    <r>
      <rPr>
        <b/>
        <sz val="10"/>
        <color indexed="10"/>
        <rFont val="Arial"/>
        <family val="2"/>
      </rPr>
      <t xml:space="preserve">        Nota_2:</t>
    </r>
    <r>
      <rPr>
        <b/>
        <sz val="10"/>
        <color indexed="18"/>
        <rFont val="Arial"/>
        <family val="2"/>
      </rPr>
      <t xml:space="preserve"> En los Años, 2003, 2004, 2007, 2010, 2011, 2016, 2018 , 2020 y 2021</t>
    </r>
  </si>
  <si>
    <t>Total año 2021</t>
  </si>
  <si>
    <t>Tecnico de controles internos</t>
  </si>
  <si>
    <t xml:space="preserve">Dirección Ejecutiva       Dr. Rafael Enrique Gonzalez </t>
  </si>
  <si>
    <t xml:space="preserve">Controles Internos        Gumensindo Cuevas </t>
  </si>
  <si>
    <t xml:space="preserve">Gestion Humana         Miguel ruiz </t>
  </si>
  <si>
    <t xml:space="preserve">Consultoria Juridica  portes </t>
  </si>
  <si>
    <t>Depto. De Adquisiciones   Damaris Mesa</t>
  </si>
  <si>
    <t>Consultoría Jurídica      Maria Castillo( Tatis)</t>
  </si>
  <si>
    <t>Coordinación Financiera   Elizauris Casilla</t>
  </si>
  <si>
    <t xml:space="preserve">Prensa y Relaciones Pública                              </t>
  </si>
  <si>
    <t>Depto. De Adquisiciones Damaris Mesa</t>
  </si>
  <si>
    <t xml:space="preserve">Ante-Despacho  Dirección Ejecutiva       </t>
  </si>
  <si>
    <t xml:space="preserve">Gerencia Técnica       Melvin Briosos </t>
  </si>
  <si>
    <t>Coordinación Financiera  Elizauris Casilla</t>
  </si>
  <si>
    <t xml:space="preserve">Gerencia Técnica      </t>
  </si>
  <si>
    <t xml:space="preserve">Gerencia Técnica           </t>
  </si>
  <si>
    <t xml:space="preserve">Prensa y Relaciones Pública </t>
  </si>
  <si>
    <t xml:space="preserve">Gestion Humana         Miguel Ruiz </t>
  </si>
  <si>
    <t xml:space="preserve">Prensa y Relaciones Pública                          </t>
  </si>
  <si>
    <t xml:space="preserve">Prensa y Relaciones Pública                           </t>
  </si>
  <si>
    <t xml:space="preserve">Prensa y Relaciones Pública                         </t>
  </si>
  <si>
    <t xml:space="preserve">Coordinación Administrativa         Miriam J. Beaz </t>
  </si>
  <si>
    <t xml:space="preserve">Controles Internos        Gumercindo Cuevas </t>
  </si>
  <si>
    <t xml:space="preserve">Controles Internos       Gumercindo Cuevas </t>
  </si>
  <si>
    <t>Controles Internos       Carlos Castillo</t>
  </si>
  <si>
    <t xml:space="preserve">Prensa y Relaciones Públicas                      </t>
  </si>
  <si>
    <t>Gestión Humana       Miguel Ruiz</t>
  </si>
  <si>
    <t xml:space="preserve">Consultoría Jurídica     </t>
  </si>
  <si>
    <t>Unidad de Adquisiciones    Damares Mesa</t>
  </si>
  <si>
    <t>Gestión Humana        Miguel Ruiz</t>
  </si>
  <si>
    <t xml:space="preserve">Acceso a la Información  </t>
  </si>
  <si>
    <t xml:space="preserve">Prensa y Relaciones Públicas                 </t>
  </si>
  <si>
    <t xml:space="preserve">Unidad Correspondencia   </t>
  </si>
  <si>
    <t xml:space="preserve">Coord Administrativa        </t>
  </si>
  <si>
    <t xml:space="preserve">Unidad de Adquisiciones     </t>
  </si>
  <si>
    <t xml:space="preserve">   Unidad de Adquisiciones</t>
  </si>
  <si>
    <t>Lib.200</t>
  </si>
  <si>
    <t>Lib-204</t>
  </si>
  <si>
    <t xml:space="preserve"> SES-SUB 100-499  DEVICES ,3 YEARS </t>
  </si>
  <si>
    <t xml:space="preserve">SOPORTE FORTIGATE-200E SKU-QID2260540-1 </t>
  </si>
  <si>
    <t>01L1C00399</t>
  </si>
  <si>
    <t>02L1C00332</t>
  </si>
  <si>
    <t>GOBDOM-02-01781</t>
  </si>
  <si>
    <t>GOBDOM-02-01782</t>
  </si>
  <si>
    <t>GOBDOM-02-01783</t>
  </si>
  <si>
    <t>GOBDOM-02-01784</t>
  </si>
  <si>
    <t>GOBDOM-02-01785</t>
  </si>
  <si>
    <t>GOBDOM-02-01786</t>
  </si>
  <si>
    <t>GOBDOM-02-01787</t>
  </si>
  <si>
    <t>GOBDOM-02-01788</t>
  </si>
  <si>
    <t>GOBDOM-02-01789</t>
  </si>
  <si>
    <t>GOBDOM-02-01790</t>
  </si>
  <si>
    <t>GOBDOM-02-01791</t>
  </si>
  <si>
    <t>GOBDOM-02-01792</t>
  </si>
  <si>
    <t>GOBDOM-02-01793</t>
  </si>
  <si>
    <t>GOBDOM-02-01794</t>
  </si>
  <si>
    <t>GOBDOM-02-01795</t>
  </si>
  <si>
    <t>GOBDOM-02-01796</t>
  </si>
  <si>
    <t>GOBDOM-02-01797</t>
  </si>
  <si>
    <t xml:space="preserve">Depto. De Adquisiciones  </t>
  </si>
  <si>
    <t xml:space="preserve">Depto. De Adquisiciones </t>
  </si>
  <si>
    <t xml:space="preserve">Coord Administrativa         Gissel franco </t>
  </si>
  <si>
    <t xml:space="preserve">   Planificación</t>
  </si>
  <si>
    <t xml:space="preserve"> Comunicaciones</t>
  </si>
  <si>
    <t>Coordinadora Administractiva        Miriam J.Baez</t>
  </si>
  <si>
    <t xml:space="preserve">Ante Despacho Dirección Ejecutiva     </t>
  </si>
  <si>
    <t xml:space="preserve">Gerencia Técnica </t>
  </si>
  <si>
    <t>Gerencia Técnica / Melvin Brioso</t>
  </si>
  <si>
    <t xml:space="preserve">UBICACIÓN </t>
  </si>
  <si>
    <t>Felipa García Subervi</t>
  </si>
  <si>
    <t>Silla Plástica Rimax Fiesta II, Color  Blanca 2120, Cantidad: 24 UDS.</t>
  </si>
  <si>
    <t xml:space="preserve">Juan Fca. Faña  </t>
  </si>
  <si>
    <r>
      <t xml:space="preserve">Armario </t>
    </r>
    <r>
      <rPr>
        <sz val="8"/>
        <rFont val="Arial"/>
        <family val="2"/>
      </rPr>
      <t>Metalico 18 x 36 x 72</t>
    </r>
    <r>
      <rPr>
        <sz val="8"/>
        <rFont val="Arial"/>
        <family val="2"/>
      </rPr>
      <t>. Incluye:  2 Puertas y Color Crema</t>
    </r>
  </si>
  <si>
    <r>
      <t xml:space="preserve">(**) </t>
    </r>
    <r>
      <rPr>
        <sz val="8"/>
        <rFont val="Arial"/>
        <family val="2"/>
      </rPr>
      <t>HPLC LaChorom Elite de Merck-Hitachi. Incluye: Módulo de Bomba, Sistema de Gradientes, Horno, Detector UV, Detector Fluorescencia, Auto-Muestrador, Software, Computadora e Impresora. Utilizado para Cromatografía Líquida.</t>
    </r>
  </si>
  <si>
    <t>Angelica Mosquea</t>
  </si>
  <si>
    <t>Consultoria Juridica   Erick Quezada</t>
  </si>
  <si>
    <t>Waddys</t>
  </si>
  <si>
    <t>Gerencia Técnica Marolin</t>
  </si>
  <si>
    <t>Gerencia Técnica  Manuel Aquino</t>
  </si>
  <si>
    <t xml:space="preserve">Departamento Financiero  Katiuska </t>
  </si>
  <si>
    <t>Unidad de Tecnologia  Miguel Garcia</t>
  </si>
  <si>
    <t xml:space="preserve">Planificación y Desarrollo              </t>
  </si>
  <si>
    <t xml:space="preserve">Prensa y Relaciones Pública       </t>
  </si>
  <si>
    <t xml:space="preserve">Recepcionista                    </t>
  </si>
  <si>
    <t>Servicios Generales        Mariette Feliz</t>
  </si>
  <si>
    <t>Unidad de Acceso a la Información             Esther Santana</t>
  </si>
  <si>
    <t>Monitores programaticos Salvador</t>
  </si>
  <si>
    <t>Departamento Financiero Wanda Medina</t>
  </si>
  <si>
    <t>Unidad Población Clave  Raziel Zayas Severino</t>
  </si>
  <si>
    <t>Miguel Ruiz</t>
  </si>
  <si>
    <t>Coordinación Administrativa          Mirian Baez</t>
  </si>
  <si>
    <t>Coordinación Financiera               Wanda Y. Medina G.</t>
  </si>
  <si>
    <t>Depto. Adquisiciones   Giselle Otero</t>
  </si>
  <si>
    <t>Direccion Ejecutiva             Henriquez Gonzalez</t>
  </si>
  <si>
    <t>Gerencia Tecnica           Rosa Sanchez</t>
  </si>
  <si>
    <t>DR. ENRIQUEZ  GONZALEZ</t>
  </si>
  <si>
    <t>J6SKJXL</t>
  </si>
  <si>
    <t>Almacen de suministro</t>
  </si>
  <si>
    <t>Relaciones Públicas</t>
  </si>
  <si>
    <t>Juanita Rosa R.</t>
  </si>
  <si>
    <t>Dirección Ejecutiva     Polivio Perez</t>
  </si>
  <si>
    <r>
      <t>MOVIMIENTO DE MUJERES UNIDAS / MODEMU</t>
    </r>
    <r>
      <rPr>
        <sz val="11"/>
        <rFont val="Times New Roman"/>
        <family val="1"/>
      </rPr>
      <t xml:space="preserve"> </t>
    </r>
  </si>
  <si>
    <t xml:space="preserve">Dra. Margarita Fulgencio </t>
  </si>
  <si>
    <t>Gerencia Técnica   Leticia Cos</t>
  </si>
  <si>
    <t xml:space="preserve">Planificación y Desarrollo                  Francia </t>
  </si>
  <si>
    <t>Servicios Generales       Emperatriz Alvarez</t>
  </si>
  <si>
    <t>Monitores Financieros          Licelotte Calvajar</t>
  </si>
  <si>
    <r>
      <t xml:space="preserve">Gradilla Plastica P/50 Tubos (5-10ml). Cantidad: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Unidades</t>
    </r>
  </si>
  <si>
    <r>
      <t xml:space="preserve">Tubo Micro-Centrifuga 1.5ml C/Tapon Esteril PCR. Cantidad: </t>
    </r>
    <r>
      <rPr>
        <b/>
        <sz val="8"/>
        <rFont val="Arial"/>
        <family val="2"/>
      </rPr>
      <t>35</t>
    </r>
    <r>
      <rPr>
        <sz val="8"/>
        <rFont val="Arial"/>
        <family val="2"/>
      </rPr>
      <t xml:space="preserve"> Unidades.</t>
    </r>
  </si>
  <si>
    <r>
      <t xml:space="preserve">Gradilla Plastica P/72 Tubos (3-5ml). Cantidad: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Unidades</t>
    </r>
  </si>
  <si>
    <r>
      <t xml:space="preserve">Gradilla Plastica P/36 Tubos (3-5ml). Cantidad: </t>
    </r>
    <r>
      <rPr>
        <b/>
        <sz val="8"/>
        <rFont val="Arial"/>
        <family val="2"/>
      </rPr>
      <t>6</t>
    </r>
    <r>
      <rPr>
        <sz val="8"/>
        <rFont val="Arial"/>
        <family val="2"/>
      </rPr>
      <t xml:space="preserve"> Unidades</t>
    </r>
  </si>
  <si>
    <r>
      <t xml:space="preserve">Gradilla Plastica P/50 Tubos (5-10ml). Cantidad: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Unidades</t>
    </r>
  </si>
  <si>
    <r>
      <t xml:space="preserve">Gradilla Plastica P/24 Microtubos de 1.5/2ml  Cantidad: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Unidades</t>
    </r>
  </si>
  <si>
    <r>
      <t xml:space="preserve">Gradilla Plastica P/72 Tubos (3-5ml). Cantidad: </t>
    </r>
    <r>
      <rPr>
        <b/>
        <sz val="8"/>
        <rFont val="Arial"/>
        <family val="2"/>
      </rPr>
      <t>08</t>
    </r>
    <r>
      <rPr>
        <sz val="8"/>
        <rFont val="Arial"/>
        <family val="2"/>
      </rPr>
      <t xml:space="preserve"> Unidades</t>
    </r>
  </si>
  <si>
    <r>
      <t xml:space="preserve">Gradilla Plastica P/36 Tubos (3-5ml). Cantidad: </t>
    </r>
    <r>
      <rPr>
        <b/>
        <sz val="8"/>
        <rFont val="Arial"/>
        <family val="2"/>
      </rPr>
      <t>10</t>
    </r>
    <r>
      <rPr>
        <sz val="8"/>
        <rFont val="Arial"/>
        <family val="2"/>
      </rPr>
      <t xml:space="preserve"> Unidades</t>
    </r>
  </si>
  <si>
    <r>
      <t xml:space="preserve">Gradilla Plastica P/24 Microtubos de 1.5/2ml  Cantidad: </t>
    </r>
    <r>
      <rPr>
        <b/>
        <sz val="8"/>
        <rFont val="Arial"/>
        <family val="2"/>
      </rPr>
      <t>8</t>
    </r>
    <r>
      <rPr>
        <sz val="8"/>
        <rFont val="Arial"/>
        <family val="2"/>
      </rPr>
      <t xml:space="preserve"> Unidades</t>
    </r>
  </si>
  <si>
    <r>
      <t xml:space="preserve">Tapa para Tubo de Ensayo (12x75)               Cantidad: </t>
    </r>
    <r>
      <rPr>
        <b/>
        <sz val="8"/>
        <rFont val="Arial"/>
        <family val="2"/>
      </rPr>
      <t>14</t>
    </r>
    <r>
      <rPr>
        <sz val="8"/>
        <rFont val="Arial"/>
        <family val="2"/>
      </rPr>
      <t xml:space="preserve"> Paquete de 250 Unidades</t>
    </r>
  </si>
  <si>
    <t>Gerencia Técnica  Candida Melendez</t>
  </si>
  <si>
    <t>Carmen Espinal</t>
  </si>
  <si>
    <r>
      <t>Vacut Wingset #23 Safe Lock (Mariposita) C/50 BD.</t>
    </r>
    <r>
      <rPr>
        <b/>
        <sz val="8"/>
        <rFont val="Arial"/>
        <family val="2"/>
      </rPr>
      <t xml:space="preserve">                                               </t>
    </r>
    <r>
      <rPr>
        <sz val="8"/>
        <rFont val="Arial"/>
        <family val="2"/>
      </rPr>
      <t xml:space="preserve">Cantidad: </t>
    </r>
    <r>
      <rPr>
        <b/>
        <sz val="8"/>
        <rFont val="Arial"/>
        <family val="2"/>
      </rPr>
      <t>02</t>
    </r>
    <r>
      <rPr>
        <sz val="8"/>
        <rFont val="Arial"/>
        <family val="2"/>
      </rPr>
      <t xml:space="preserve"> Unidades.</t>
    </r>
  </si>
  <si>
    <r>
      <t xml:space="preserve">Vacut Rojo 6ML C/100 BD
Cantidad: </t>
    </r>
    <r>
      <rPr>
        <b/>
        <sz val="8"/>
        <rFont val="Arial"/>
        <family val="2"/>
      </rPr>
      <t>10</t>
    </r>
    <r>
      <rPr>
        <sz val="8"/>
        <rFont val="Arial"/>
        <family val="2"/>
      </rPr>
      <t xml:space="preserve"> Unidades.</t>
    </r>
  </si>
  <si>
    <r>
      <t xml:space="preserve">Vacut Morado 4ML K2 C/100 BD
Cantidad: </t>
    </r>
    <r>
      <rPr>
        <b/>
        <sz val="8"/>
        <rFont val="Arial"/>
        <family val="2"/>
      </rPr>
      <t>10</t>
    </r>
    <r>
      <rPr>
        <sz val="8"/>
        <rFont val="Arial"/>
        <family val="2"/>
      </rPr>
      <t xml:space="preserve"> Unidades.</t>
    </r>
  </si>
  <si>
    <r>
      <t xml:space="preserve">Gradilla Plástica P/24 Microtubos (1.5ml a 2.0ml). Cantidad: </t>
    </r>
    <r>
      <rPr>
        <b/>
        <sz val="8"/>
        <rFont val="Arial"/>
        <family val="2"/>
      </rPr>
      <t>01</t>
    </r>
    <r>
      <rPr>
        <sz val="8"/>
        <rFont val="Arial"/>
        <family val="2"/>
      </rPr>
      <t xml:space="preserve"> Unidades</t>
    </r>
  </si>
  <si>
    <r>
      <t xml:space="preserve">Gradilla Plástica P/36 Microtubos Azul (10-13ml). Cantidad: </t>
    </r>
    <r>
      <rPr>
        <b/>
        <sz val="8"/>
        <rFont val="Arial"/>
        <family val="2"/>
      </rPr>
      <t>04</t>
    </r>
    <r>
      <rPr>
        <sz val="8"/>
        <rFont val="Arial"/>
        <family val="2"/>
      </rPr>
      <t xml:space="preserve"> Unidades</t>
    </r>
  </si>
  <si>
    <r>
      <t xml:space="preserve">Gradilla Plastica P/72 Microtubos Naranja (10-13ml). Cantidad: </t>
    </r>
    <r>
      <rPr>
        <b/>
        <sz val="8"/>
        <rFont val="Arial"/>
        <family val="2"/>
      </rPr>
      <t>04</t>
    </r>
    <r>
      <rPr>
        <sz val="8"/>
        <rFont val="Arial"/>
        <family val="2"/>
      </rPr>
      <t xml:space="preserve"> Unidades</t>
    </r>
  </si>
  <si>
    <r>
      <t xml:space="preserve">Soporte Finnpipette P/3 Pipetas Gris Thermo. Cantidad: </t>
    </r>
    <r>
      <rPr>
        <b/>
        <sz val="8"/>
        <rFont val="Arial"/>
        <family val="2"/>
      </rPr>
      <t>02</t>
    </r>
    <r>
      <rPr>
        <sz val="8"/>
        <rFont val="Arial"/>
        <family val="2"/>
      </rPr>
      <t xml:space="preserve"> Unidades.</t>
    </r>
  </si>
  <si>
    <r>
      <t xml:space="preserve">Gradilla Plástica P/50 Microtubos Azul Doble. </t>
    </r>
    <r>
      <rPr>
        <sz val="9"/>
        <rFont val="Arial"/>
        <family val="2"/>
      </rPr>
      <t xml:space="preserve">Cantidad: </t>
    </r>
    <r>
      <rPr>
        <b/>
        <sz val="9"/>
        <rFont val="Arial"/>
        <family val="2"/>
      </rPr>
      <t>04</t>
    </r>
    <r>
      <rPr>
        <sz val="9"/>
        <rFont val="Arial"/>
        <family val="2"/>
      </rPr>
      <t xml:space="preserve"> Unidades.</t>
    </r>
  </si>
  <si>
    <r>
      <t xml:space="preserve">Tips Amarillo Sin Rosca. Paq./1000. </t>
    </r>
    <r>
      <rPr>
        <sz val="9"/>
        <rFont val="Arial"/>
        <family val="2"/>
      </rPr>
      <t xml:space="preserve">Cantidad: </t>
    </r>
    <r>
      <rPr>
        <b/>
        <sz val="9"/>
        <rFont val="Arial"/>
        <family val="2"/>
      </rPr>
      <t>10</t>
    </r>
    <r>
      <rPr>
        <sz val="9"/>
        <rFont val="Arial"/>
        <family val="2"/>
      </rPr>
      <t xml:space="preserve"> Unidades.</t>
    </r>
  </si>
  <si>
    <t>UTI</t>
  </si>
  <si>
    <t>Enc. De Activos SNS)</t>
  </si>
  <si>
    <r>
      <t>FUNDACIÓN HUMANISMO Y DEMOCRACIA / H+D RD</t>
    </r>
    <r>
      <rPr>
        <b/>
        <sz val="11"/>
        <rFont val="Times New Roman"/>
        <family val="1"/>
      </rPr>
      <t xml:space="preserve"> </t>
    </r>
  </si>
  <si>
    <t xml:space="preserve">Ck. 10308 </t>
  </si>
  <si>
    <t>Diciembre,2021</t>
  </si>
  <si>
    <t xml:space="preserve"> _________________________________</t>
  </si>
  <si>
    <t>___________________________</t>
  </si>
  <si>
    <t>________________________________________________________________________________________________________________________________________________________________</t>
  </si>
  <si>
    <t xml:space="preserve">                        INVENTARIO GENERAL DE EQUIPOS Y MOBILIARIOS DE OFICINA - PROYECTO FONDO MUNDIAL</t>
  </si>
  <si>
    <t xml:space="preserve">                     CONSEJO NACIONAL PARA EL VIH Y EL SIDA</t>
  </si>
  <si>
    <t xml:space="preserve">                       ACTIVOS FIJOS ACUMULADO AL 31 DE  DICIEMBRE , 2021.</t>
  </si>
  <si>
    <t>UBICACIÓN</t>
  </si>
  <si>
    <r>
      <rPr>
        <b/>
        <sz val="10"/>
        <color indexed="10"/>
        <rFont val="Arial"/>
        <family val="2"/>
      </rPr>
      <t xml:space="preserve">     Nota_1:</t>
    </r>
    <r>
      <rPr>
        <b/>
        <sz val="10"/>
        <color indexed="18"/>
        <rFont val="Arial"/>
        <family val="2"/>
      </rPr>
      <t xml:space="preserve"> Informe de Activos Fijos Acumulado al 31 de Diciembre, 2021.</t>
    </r>
  </si>
  <si>
    <r>
      <rPr>
        <b/>
        <sz val="11"/>
        <color indexed="10"/>
        <rFont val="Arial"/>
        <family val="2"/>
      </rPr>
      <t xml:space="preserve">       Nota_1:</t>
    </r>
    <r>
      <rPr>
        <b/>
        <sz val="10"/>
        <color indexed="18"/>
        <rFont val="Arial"/>
        <family val="2"/>
      </rPr>
      <t xml:space="preserve"> Informe de Activos Fijos Acumulado al 31 de Diciembre, 2021.</t>
    </r>
  </si>
  <si>
    <r>
      <rPr>
        <b/>
        <sz val="11"/>
        <color indexed="10"/>
        <rFont val="Arial"/>
        <family val="2"/>
      </rPr>
      <t xml:space="preserve">  Nota_1:</t>
    </r>
    <r>
      <rPr>
        <b/>
        <sz val="10"/>
        <color indexed="18"/>
        <rFont val="Arial"/>
        <family val="2"/>
      </rPr>
      <t xml:space="preserve"> Informe de Activos Fijos Acumulado al 31 de Diciembre, 2021</t>
    </r>
  </si>
  <si>
    <t xml:space="preserve">        ACTIVOS FIJOS ACUMULADO AL 31 DE DICIEMBRE, 2021.</t>
  </si>
  <si>
    <t xml:space="preserve">         ACTIVOS FIJOS ACUMULADO AL 31 DE DICIEMBRE, 2021.</t>
  </si>
  <si>
    <r>
      <rPr>
        <b/>
        <sz val="10"/>
        <color indexed="10"/>
        <rFont val="Arial"/>
        <family val="2"/>
      </rPr>
      <t xml:space="preserve">         Nota_1:</t>
    </r>
    <r>
      <rPr>
        <b/>
        <sz val="10"/>
        <color indexed="18"/>
        <rFont val="Arial"/>
        <family val="2"/>
      </rPr>
      <t xml:space="preserve"> Informe de Activos Fijos Acumulado al 31 de Diciembre, 2021.</t>
    </r>
  </si>
  <si>
    <t>GOBDOM-02-01798</t>
  </si>
  <si>
    <t>FD9Z61C3649001D2104038206</t>
  </si>
  <si>
    <t>RENEXYS S.R.L</t>
  </si>
  <si>
    <t>Lib.1065</t>
  </si>
  <si>
    <t>GOBDOM-02-01799</t>
  </si>
  <si>
    <t>SE49-30303</t>
  </si>
  <si>
    <t>GOBDOM-02-01800</t>
  </si>
  <si>
    <t>GOBDOM-02-01801</t>
  </si>
  <si>
    <t>GOBDOM-02-01802</t>
  </si>
  <si>
    <t>SL20-68102</t>
  </si>
  <si>
    <t>Lib.287</t>
  </si>
  <si>
    <t>Diciembre,2021.</t>
  </si>
  <si>
    <t>Diciembre, 2021.</t>
  </si>
  <si>
    <t xml:space="preserve">Tecnico de Controles deBienes </t>
  </si>
  <si>
    <t>Wanda Y. Medina G.</t>
  </si>
  <si>
    <t xml:space="preserve">Equivalentes en Dolares </t>
  </si>
  <si>
    <t xml:space="preserve">Valor de Preciacion en Meses </t>
  </si>
  <si>
    <t xml:space="preserve">          INVENTARIO GENERAL DE EQUIPOS Y MOBILIARIOS DE OFICINA - CONTRAPARTIDA DEL GOBIERNO DOMINICANO</t>
  </si>
  <si>
    <t>Equivalente en Dolares</t>
  </si>
  <si>
    <t>Valor Depreciación         (en meses)</t>
  </si>
  <si>
    <t>________________________________________</t>
  </si>
  <si>
    <t>_______________________________________</t>
  </si>
  <si>
    <t>_________________________________</t>
  </si>
  <si>
    <t>__________________________________________</t>
  </si>
  <si>
    <r>
      <rPr>
        <b/>
        <sz val="11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Nota_3:</t>
    </r>
    <r>
      <rPr>
        <b/>
        <sz val="10"/>
        <color indexed="18"/>
        <rFont val="Arial"/>
        <family val="2"/>
      </rPr>
      <t xml:space="preserve"> Algunos bienes adquiridos en el 2016 y 2017, fueron descargado a la</t>
    </r>
  </si>
  <si>
    <t xml:space="preserve">Direccion General de Bienes Nacionales </t>
  </si>
  <si>
    <r>
      <rPr>
        <b/>
        <sz val="11"/>
        <color indexed="10"/>
        <rFont val="Arial"/>
        <family val="2"/>
      </rPr>
      <t>Nota _1</t>
    </r>
    <r>
      <rPr>
        <sz val="10"/>
        <rFont val="Arial"/>
        <family val="2"/>
      </rPr>
      <t>:</t>
    </r>
    <r>
      <rPr>
        <sz val="10"/>
        <color indexed="56"/>
        <rFont val="Arial"/>
        <family val="2"/>
      </rPr>
      <t xml:space="preserve"> </t>
    </r>
    <r>
      <rPr>
        <b/>
        <sz val="10"/>
        <color indexed="56"/>
        <rFont val="Arial"/>
        <family val="2"/>
      </rPr>
      <t>Informe de los Activos Fijos Acumulado al 31 de Diciembre,2021</t>
    </r>
  </si>
  <si>
    <r>
      <rPr>
        <b/>
        <sz val="11"/>
        <color indexed="10"/>
        <rFont val="Arial"/>
        <family val="2"/>
      </rPr>
      <t xml:space="preserve">       Nota_2:</t>
    </r>
    <r>
      <rPr>
        <b/>
        <sz val="10"/>
        <color indexed="18"/>
        <rFont val="Arial"/>
        <family val="2"/>
      </rPr>
      <t xml:space="preserve"> </t>
    </r>
    <r>
      <rPr>
        <b/>
        <sz val="10"/>
        <color indexed="56"/>
        <rFont val="Arial"/>
        <family val="2"/>
      </rPr>
      <t xml:space="preserve">Algunos de los bienes fueron descargado por deterioro a  la </t>
    </r>
  </si>
  <si>
    <t>Lib.1274-1</t>
  </si>
  <si>
    <t>GOBDOM-02-01806</t>
  </si>
  <si>
    <t>LEON GONZALEZ SRL</t>
  </si>
  <si>
    <t>ACTUALIDADES  VD, SRL.</t>
  </si>
  <si>
    <t>Lib.1149-1</t>
  </si>
  <si>
    <t>GOBDOM-02-01807</t>
  </si>
  <si>
    <t>GOBDOM-02-01808</t>
  </si>
  <si>
    <t>GOBDOM-02-01803</t>
  </si>
  <si>
    <t>GOBDOM-02-01804</t>
  </si>
  <si>
    <t>GOBDOM-02-01805</t>
  </si>
  <si>
    <t xml:space="preserve">Controles Interno  Gumercindo Cuevas </t>
  </si>
  <si>
    <t>ante-Despacho                   Direccion Ejecutiva Polivio Perez</t>
  </si>
  <si>
    <t>HOSPITAL Y BAEZ CABRAL (SANTIAGO)</t>
  </si>
  <si>
    <t>Lib.1332-1</t>
  </si>
  <si>
    <t>Lib.1335-1</t>
  </si>
  <si>
    <t>Máquina Dispensadora de Condones con Sistema de Monedas. Dimensión: 75 x 12 x 16cm.</t>
  </si>
  <si>
    <t>Nevera Ejecutiva Frigidaire de 3.2 Pies , Color:Acero Inoxidable</t>
  </si>
  <si>
    <t>Sofa Marvin  de  2 Persona  Color:Negro</t>
  </si>
  <si>
    <t>Credenza en  Melanina Color:Haya</t>
  </si>
  <si>
    <t>DISTRIBUIDORA MA&amp;S</t>
  </si>
  <si>
    <t>Impresora LaserJet Pro MFP M227FDW Multifuncional.</t>
  </si>
  <si>
    <t>Silla Técnica en Tela Color Negro y Espaldar en Mesh, Mod. LM-STICK.</t>
  </si>
  <si>
    <t>Bebedero de Botellón TecnoMaster. Con Neverita Integrada. Color Blanco.</t>
  </si>
  <si>
    <t>Impresora Multifuncional HP Pro400                            M-425DN</t>
  </si>
  <si>
    <t>Zafacón Plástico con Tapa y Rueda.            Rubbernad. Color: Amarillo con Negro. 50gl.</t>
  </si>
  <si>
    <t>Abanico de Techo KDK sin Globo.                    Color: Blanco.</t>
  </si>
  <si>
    <t>Abanico de Techo KDK sin Globo.                     Color: Blanco.</t>
  </si>
  <si>
    <t>Abanico de Techo KDK sin Globo.                       Color: Blanco.</t>
  </si>
  <si>
    <t>Abanico de Techo KDK sin Globo.                        Color: Blanco.</t>
  </si>
  <si>
    <t>Escritorio  Linea Space de  31 X 55 Tope Cristal, Curvo en el Frente y de  12mm,Con Estructura Metal Blanca .</t>
  </si>
  <si>
    <t>Escritorio  Retorno  Space de  22 X 40 Rectangular Con  Estructura Metal Blanca y  Tope Cristal de 12 mm.</t>
  </si>
  <si>
    <t xml:space="preserve">Sillas  de  Visitas Erickson, Espaldar  Bajo Tapizada en  Piel  Sintetica Color  Gris. </t>
  </si>
  <si>
    <t>Lib.1062-1</t>
  </si>
  <si>
    <t>Lib.899-1</t>
  </si>
  <si>
    <t>GOBDOM-02-01809</t>
  </si>
  <si>
    <t>GOBDOM-02-01810</t>
  </si>
  <si>
    <t>20693-M3-23</t>
  </si>
  <si>
    <t>MULTICOMPUTOS     S.R.L.</t>
  </si>
  <si>
    <t>_____________________________________</t>
  </si>
  <si>
    <t>_______________________________</t>
  </si>
  <si>
    <t>Lib.1518-1</t>
  </si>
  <si>
    <t>GOBDOM-02-01811</t>
  </si>
  <si>
    <t>GOBDOM-02-01812</t>
  </si>
  <si>
    <t>Escritorio Ejecutivo en forma de L,con Linea Plato Tope Color Maple, Laterales y Estructura Metalica en Gris, con Medidas: 63x80x30 y Retorno a la Derecha con Gabinete, con puerta y espacio abierto.</t>
  </si>
  <si>
    <t>Escritorio ,estacion de trabajo para una persona,linea Plato de space, con medidas de 48x24x30, tope color:gris maple  con panel de privacidad y estructura metalica gris oscuro, Incluye modulo fijo de una gaveta y una puerta.</t>
  </si>
  <si>
    <r>
      <t xml:space="preserve">Tarimas Plásticas: Tipo plataforma, resistente, con capacidad de carga estática de 1,500 kg. Dimensión 1x20x1.     </t>
    </r>
    <r>
      <rPr>
        <sz val="9"/>
        <color indexed="10"/>
        <rFont val="Arial"/>
        <family val="2"/>
      </rPr>
      <t>Cantidad: 16 Unidades.</t>
    </r>
  </si>
  <si>
    <r>
      <t xml:space="preserve">Tarimas Plásticas: Tipo plataforma, resistente, con capacidad de carga estática de 1,500 kg. Dimensión 1x20x1.     </t>
    </r>
    <r>
      <rPr>
        <sz val="9"/>
        <color indexed="10"/>
        <rFont val="Arial"/>
        <family val="2"/>
      </rPr>
      <t>Cantidad: 12 Unidades.</t>
    </r>
  </si>
  <si>
    <r>
      <t xml:space="preserve">Estantes Metálicos de 5 Bandejas con refuerzo de bandeja incluido. Dimensión: 2mts x 0.60cm x 40cm MTS.
</t>
    </r>
    <r>
      <rPr>
        <sz val="9"/>
        <color indexed="10"/>
        <rFont val="Arial"/>
        <family val="2"/>
      </rPr>
      <t>Cantidad: 1 Unidades.</t>
    </r>
  </si>
  <si>
    <r>
      <t xml:space="preserve">Estantes Metálicos de 5 Bandejas con refuerzo de bandeja incluido. Dimensión: 2mts x 0.80cm x 40cm MTS.
</t>
    </r>
    <r>
      <rPr>
        <sz val="9"/>
        <color indexed="10"/>
        <rFont val="Arial"/>
        <family val="2"/>
      </rPr>
      <t>Cantidad: 18 Unidades.</t>
    </r>
  </si>
  <si>
    <r>
      <t xml:space="preserve">Estantes Metálicos de 5 Bandejas con refuerzo de bandeja incluido. Dimensión: 2mts x 100cm x 40cm MTS.
</t>
    </r>
    <r>
      <rPr>
        <sz val="9"/>
        <color indexed="10"/>
        <rFont val="Arial"/>
        <family val="2"/>
      </rPr>
      <t>Cantidad: 99 Unidades.</t>
    </r>
  </si>
  <si>
    <r>
      <t xml:space="preserve">Estantes Metálicos de 5 Bandejas con refuerzo de bandeja incluido. Dimensión: 2mts x 0.80cm x 40cm MTS.
</t>
    </r>
    <r>
      <rPr>
        <sz val="9"/>
        <color indexed="10"/>
        <rFont val="Arial"/>
        <family val="2"/>
      </rPr>
      <t>Cantidad: 4 Unidades.</t>
    </r>
  </si>
  <si>
    <r>
      <t xml:space="preserve">Estantes Metálicos de 5 Bandejas con refuerzo de bandeja incluido. Dimensión: 2mts x 100cm x 40cm MTS.
</t>
    </r>
    <r>
      <rPr>
        <sz val="9"/>
        <color indexed="10"/>
        <rFont val="Arial"/>
        <family val="2"/>
      </rPr>
      <t>Cantidad: 62 Unidades.</t>
    </r>
  </si>
  <si>
    <r>
      <t xml:space="preserve">Estantes Metálicos de 5 Bandejas con refuerzo de bandeja incluido. Dimensión: 2mts x 0.60cm x 40cm MTS.
</t>
    </r>
    <r>
      <rPr>
        <sz val="9"/>
        <color indexed="10"/>
        <rFont val="Arial"/>
        <family val="2"/>
      </rPr>
      <t>Cantidad: 9 Unidades.</t>
    </r>
  </si>
  <si>
    <r>
      <t xml:space="preserve">Estantes Metálicos de 5 Bandejas con refuerzo de bandeja incluido. Dimensión: 2mts x 0.80cm x 40cm MTS.
</t>
    </r>
    <r>
      <rPr>
        <sz val="9"/>
        <color indexed="10"/>
        <rFont val="Arial"/>
        <family val="2"/>
      </rPr>
      <t>Cantidad: 15 Unidades.</t>
    </r>
  </si>
  <si>
    <r>
      <t xml:space="preserve">Estantes Metálicos de 5 Bandejas con refuerzo de bandeja incluido. Dimensión: 2mts x 100cm x 40cm MTS.
</t>
    </r>
    <r>
      <rPr>
        <sz val="9"/>
        <color indexed="10"/>
        <rFont val="Arial"/>
        <family val="2"/>
      </rPr>
      <t>Cantidad: 101 Unidades.</t>
    </r>
  </si>
  <si>
    <r>
      <t xml:space="preserve">Estantes Metálicos de 5 Bandejas con refuerzo de bandeja incluido. Dimensión: 2mts x 0.60cm x 40cm MTS.
</t>
    </r>
    <r>
      <rPr>
        <sz val="9"/>
        <color indexed="10"/>
        <rFont val="Arial"/>
        <family val="2"/>
      </rPr>
      <t>Cantidad: 4 Unidades.</t>
    </r>
  </si>
  <si>
    <r>
      <t xml:space="preserve">Estantes Metálicos de 5 Bandejas con refuerzo de bandeja incluido. Dimensión: 2mts x 0.80cm x 40cm MTS.
</t>
    </r>
    <r>
      <rPr>
        <sz val="9"/>
        <color indexed="10"/>
        <rFont val="Arial"/>
        <family val="2"/>
      </rPr>
      <t>Cantidad: 6 Unidades.</t>
    </r>
  </si>
  <si>
    <r>
      <t xml:space="preserve">Estantes Metálicos de 5 Bandejas con refuerzo de bandeja incluido. Dimensión: 2mts x 100cm x 40cm MTS.
</t>
    </r>
    <r>
      <rPr>
        <sz val="9"/>
        <color indexed="10"/>
        <rFont val="Arial"/>
        <family val="2"/>
      </rPr>
      <t>Cantidad: 100 Unidades.</t>
    </r>
  </si>
  <si>
    <r>
      <t xml:space="preserve">Estantes Metálicos de 5 Bandejas   Dimensión: 2.0 x 1.20 x 0.40 MTS.
</t>
    </r>
    <r>
      <rPr>
        <b/>
        <sz val="9"/>
        <rFont val="Arial"/>
        <family val="2"/>
      </rPr>
      <t>Cantidad: 50 Unidades.</t>
    </r>
  </si>
  <si>
    <r>
      <t xml:space="preserve">Tarimas Plásticas. Tipo Plataforma, carga estática de 1,500 kg. Dimensión 1.20 x 1.20.  </t>
    </r>
    <r>
      <rPr>
        <b/>
        <sz val="9"/>
        <rFont val="Arial"/>
        <family val="2"/>
      </rPr>
      <t>Cantidad: 12 Unidades</t>
    </r>
    <r>
      <rPr>
        <sz val="9"/>
        <rFont val="Arial"/>
        <family val="2"/>
      </rPr>
      <t>.</t>
    </r>
  </si>
  <si>
    <r>
      <t xml:space="preserve">Mouse Dell Optico MS116 UBS Negro. </t>
    </r>
    <r>
      <rPr>
        <b/>
        <sz val="9"/>
        <rFont val="Arial"/>
        <family val="2"/>
      </rPr>
      <t>Cantidad: 20 Unidades</t>
    </r>
    <r>
      <rPr>
        <sz val="9"/>
        <rFont val="Arial"/>
        <family val="2"/>
      </rPr>
      <t>.</t>
    </r>
  </si>
  <si>
    <r>
      <t xml:space="preserve">Licencia Soporte de Backup Exec. 12 Meses. </t>
    </r>
    <r>
      <rPr>
        <b/>
        <sz val="9"/>
        <rFont val="Arial"/>
        <family val="2"/>
      </rPr>
      <t>Cantidad: 2 Licencias</t>
    </r>
    <r>
      <rPr>
        <sz val="9"/>
        <rFont val="Arial"/>
        <family val="2"/>
      </rPr>
      <t xml:space="preserve"> Renovada.</t>
    </r>
  </si>
  <si>
    <r>
      <t>Sillon  Ejecutivo  SY888 en  Pielina,Color:</t>
    </r>
    <r>
      <rPr>
        <b/>
        <sz val="9"/>
        <rFont val="Arial"/>
        <family val="2"/>
      </rPr>
      <t>Negro,</t>
    </r>
    <r>
      <rPr>
        <sz val="9"/>
        <rFont val="Arial"/>
        <family val="2"/>
      </rPr>
      <t>Base Metal.</t>
    </r>
  </si>
  <si>
    <r>
      <t>Sofa Marvin  de  3 Persona  Color:</t>
    </r>
    <r>
      <rPr>
        <b/>
        <sz val="9"/>
        <rFont val="Arial"/>
        <family val="2"/>
      </rPr>
      <t>Negro</t>
    </r>
  </si>
  <si>
    <r>
      <t>Sillon  Ejecutivo,Eddie en  Pielgenuina ,</t>
    </r>
    <r>
      <rPr>
        <b/>
        <sz val="9"/>
        <rFont val="Arial"/>
        <family val="2"/>
      </rPr>
      <t>Color Negro</t>
    </r>
    <r>
      <rPr>
        <sz val="9"/>
        <rFont val="Arial"/>
        <family val="2"/>
      </rPr>
      <t>, Espardar  Alto.</t>
    </r>
  </si>
  <si>
    <t>FORTIMAIL CLOUD-GATEWAY PREMIUN W. OFFICE 365 API SUPPORT 100 TO 100 MAIL BOXES.</t>
  </si>
  <si>
    <t>RENOVACION DE FIREWALL  ADVANCED  MALWARE PROTECTION FORTIGUAD SERVICE WEB FILTRING , SUSCRIPCION ANUAL: VALIDA HASTA 25/01/2021.</t>
  </si>
  <si>
    <r>
      <t>Sillon  Ejecutivo  SY888 en  Pielina,Color:</t>
    </r>
    <r>
      <rPr>
        <b/>
        <sz val="9"/>
        <rFont val="Arial"/>
        <family val="2"/>
      </rPr>
      <t xml:space="preserve">Negro </t>
    </r>
    <r>
      <rPr>
        <sz val="9"/>
        <rFont val="Arial"/>
        <family val="2"/>
      </rPr>
      <t>Base Metal.</t>
    </r>
  </si>
  <si>
    <t>Nevera Ejecutiva Frigidaire de  4.5 Pies  Color: Acero Inoxidable</t>
  </si>
  <si>
    <t>Lib.1430-1</t>
  </si>
  <si>
    <t>GOBDOM-0201813</t>
  </si>
  <si>
    <t>Nevera Ejecutiva de 4.5 pies</t>
  </si>
  <si>
    <t>Gerencia Tecnica  Melvin Brioso</t>
  </si>
  <si>
    <t>DISTRIBUIDORA MA&amp;S,S.R.L.</t>
  </si>
  <si>
    <t>Lib.1201-1</t>
  </si>
  <si>
    <t>GOBDOM-02-01814</t>
  </si>
  <si>
    <t>MAQUINA SUMADORA SHARP 2630P</t>
  </si>
  <si>
    <t>GOBDOM-02-01815</t>
  </si>
  <si>
    <t>GOBDOM-02-01816</t>
  </si>
  <si>
    <t>GOBDOM-02-01817</t>
  </si>
  <si>
    <t>GOBDOM-02-01818</t>
  </si>
  <si>
    <t>GOBDOM-02-01819</t>
  </si>
  <si>
    <t>A&amp;F CENTRO GRAFICO SRL</t>
  </si>
  <si>
    <t>Computador  Desktop Dell Optiplex 7080 , color Negro incluye (Teclado,Mauses      Memoria,VGA)</t>
  </si>
  <si>
    <t>Computador  Desktop Dell Optiplex 7080 , color Negro incluye (Teclado,Mauses,        Memoria,VGA)</t>
  </si>
  <si>
    <t>Computador  Desktop Dell Optiplex 7080 , color Negro incluye (Teclado,Mauses,         Memoria,VGA)</t>
  </si>
  <si>
    <t>Computador  Desktop Dell Optiplex 7080 , color Negro incluye (Teclado,Mauses,      Memoria,VGA)</t>
  </si>
  <si>
    <t xml:space="preserve">Consultoría Jurídica      </t>
  </si>
  <si>
    <t>Ck.02712</t>
  </si>
  <si>
    <t>FM05-01860</t>
  </si>
  <si>
    <t>Chassis: LVBV4JBB8NY001858</t>
  </si>
  <si>
    <t>CATHAY GROUP, SRL</t>
  </si>
  <si>
    <t>Ck.02713</t>
  </si>
  <si>
    <t>FM05-01861</t>
  </si>
  <si>
    <t>Camion foton,modelo : AUMARK S, año 2022  Color:blanco .</t>
  </si>
  <si>
    <t>Camion foton,modelo : AUMARK S, año 202  Color:blanco .</t>
  </si>
  <si>
    <t>Chassis: LVBV4JBB8NY001857</t>
  </si>
  <si>
    <t>Dep. Monitores Finaciero 2do Piso</t>
  </si>
  <si>
    <t>Gerencia Tecnica  Santiago Aza .</t>
  </si>
  <si>
    <t xml:space="preserve">Comunicación y Prensa Vianco Martinez </t>
  </si>
  <si>
    <t>Recurso Humano Miguel Ruiz</t>
  </si>
  <si>
    <t xml:space="preserve">Tecnologia Vilma peralta </t>
  </si>
  <si>
    <t xml:space="preserve">Encarnación Planificación y Desarrollo Noemi </t>
  </si>
  <si>
    <t xml:space="preserve">      Planificación y Desarrollo  Francisco Eusebio  </t>
  </si>
  <si>
    <t xml:space="preserve">Monitores Financieros  Licelotte Calvajal </t>
  </si>
  <si>
    <t xml:space="preserve"> Coord. Gestión Humana   Miguel Ruiz</t>
  </si>
  <si>
    <t xml:space="preserve">          Gestión Humana </t>
  </si>
  <si>
    <t xml:space="preserve"> Correspondencia   </t>
  </si>
  <si>
    <t xml:space="preserve"> Coordinación Financiera Indhira Popoteur</t>
  </si>
  <si>
    <t>Maria Castillo  (Tatis)            Consultoria Juridica</t>
  </si>
  <si>
    <t xml:space="preserve">  Prensa y Rel. Pública   Pedro Canela   </t>
  </si>
  <si>
    <t xml:space="preserve">  Coord. Administrativa                Gissel Franco</t>
  </si>
  <si>
    <t xml:space="preserve"> Direccion ejecutiva    Gissela Garcia</t>
  </si>
  <si>
    <t xml:space="preserve"> Oficina de Acceso a la Informacion  Ebony Peña</t>
  </si>
  <si>
    <t xml:space="preserve">  Prensa y Relaciones Publica Vianco Martinez</t>
  </si>
  <si>
    <t xml:space="preserve"> Gerencia Tecnica  Patricia Rivera </t>
  </si>
  <si>
    <t xml:space="preserve">  Director Ejecutivo  Dr. Enrique Gonzalez</t>
  </si>
  <si>
    <t xml:space="preserve">Direccion Ejecutiva Gerson Dominguez </t>
  </si>
  <si>
    <t xml:space="preserve">     Unidad Financiera  Ingrid Melo</t>
  </si>
  <si>
    <t xml:space="preserve"> Coordinacion Administrativo- Financiera Mirian Baez</t>
  </si>
  <si>
    <t xml:space="preserve"> Control Interno  Gumecindo Cuevas</t>
  </si>
  <si>
    <t xml:space="preserve">  Sub-Director (conavihsida)  Julio Goner</t>
  </si>
  <si>
    <t xml:space="preserve"> Sub-Director (conavihsida)  Julio Goner </t>
  </si>
  <si>
    <t xml:space="preserve">Sub Director (conavihsida)  Julio Goner  </t>
  </si>
  <si>
    <t>Sillas  de  Visitas Erickson, Espaldar Bajo Tapizada en  Piel Sintetica Color Gris .</t>
  </si>
  <si>
    <r>
      <t>LICENCIAS ANTI-VIRUS  SES-SUB-100-499,ENDPOINT SECURITY ENTERPRISE,HYBRID SBSCRIPTION  LICENCES WITH SUPPORT,</t>
    </r>
    <r>
      <rPr>
        <b/>
        <sz val="9"/>
        <rFont val="Arial"/>
        <family val="2"/>
      </rPr>
      <t xml:space="preserve">CANTIDAD: 120 UNIDADES </t>
    </r>
    <r>
      <rPr>
        <sz val="9"/>
        <rFont val="Arial"/>
        <family val="2"/>
      </rPr>
      <t>SUSCRIPCION CADA 3 AÑOS:VALIDA HASTA  8/03/2024.</t>
    </r>
  </si>
  <si>
    <r>
      <t>Cable Argom HDMI de 6 Pies. Cantidad:</t>
    </r>
    <r>
      <rPr>
        <b/>
        <sz val="9"/>
        <rFont val="Arial"/>
        <family val="2"/>
      </rPr>
      <t xml:space="preserve"> 05 Uds</t>
    </r>
    <r>
      <rPr>
        <sz val="9"/>
        <rFont val="Arial"/>
        <family val="2"/>
      </rPr>
      <t>.</t>
    </r>
  </si>
  <si>
    <r>
      <t xml:space="preserve">Licencia de Soporte FortiGate (Hardware) (Renovacion por Un </t>
    </r>
    <r>
      <rPr>
        <b/>
        <sz val="9"/>
        <rFont val="Arial"/>
        <family val="2"/>
      </rPr>
      <t>(1) Año)</t>
    </r>
  </si>
  <si>
    <t>Gestión Humana                                       Prestado</t>
  </si>
  <si>
    <t xml:space="preserve">Gerencia tecnica               Santiago De Aza </t>
  </si>
  <si>
    <t xml:space="preserve">                                                                                                                                            </t>
  </si>
  <si>
    <t xml:space="preserve">Unidad de Transportacion </t>
  </si>
  <si>
    <t>ME1UE271XL3035131</t>
  </si>
  <si>
    <t>ME1UE2715L3035084</t>
  </si>
  <si>
    <t>Chassis: MM7UNY0W4E0939214</t>
  </si>
  <si>
    <t>chassis: 3HGRM3830FG600823</t>
  </si>
  <si>
    <t>chassis: MM7UNY0W4E0938797</t>
  </si>
  <si>
    <t>chassis: MM7UNY0W4E0939304</t>
  </si>
  <si>
    <t>chassis: KMHJT81EBFU091340</t>
  </si>
  <si>
    <t>chassis: JS3TE04V4G4100174</t>
  </si>
  <si>
    <t>chassis: MPATFS54H6H516535</t>
  </si>
  <si>
    <t>chassis:MPATFS54H6H516518</t>
  </si>
  <si>
    <t>chassis:MPATFS54H6H510601</t>
  </si>
  <si>
    <t xml:space="preserve">chassis: JTMBD31V905051556       y                        JTMBD31V305047406       </t>
  </si>
  <si>
    <t>Chasis:  JN1CJUD22Z0740042   Placa: EL06214</t>
  </si>
  <si>
    <t>Chassis: 1FMEU63E07UA60721</t>
  </si>
  <si>
    <t>Chassis: JN1CJUD22Z0740065</t>
  </si>
  <si>
    <t xml:space="preserve">Camioneta Nissan Frontier, Blanca, 2005 </t>
  </si>
  <si>
    <t>Jeppeta Ford Explorer XLT 4X2, Azul, 2007  placa: EG00255</t>
  </si>
  <si>
    <t>Camioneta Nissan Frontier NP300. Año 2018  placa: EL07380</t>
  </si>
  <si>
    <t>Camioneta Nissan Frontier NP300. Año 2018 placa: EL07382</t>
  </si>
  <si>
    <t>Camioneta Nissan Frontier NP300. Año 2018  placa: EL07381</t>
  </si>
  <si>
    <t>Camioneta Nissan Frontier NP300. Año 2018  placa: EL07379</t>
  </si>
  <si>
    <t>Jeepeta Toyota 4Runner 4x4 Limited 2018. Color Negra.  Placa: EG02815</t>
  </si>
  <si>
    <t>Motoclicleta YAMAHHA AñO 2020 Color Marron plca: K1892989</t>
  </si>
  <si>
    <t>Motoclicleta YAMAHHA AñO 2020 Color Marron placa: K1892988</t>
  </si>
  <si>
    <t>Lib.1674-1</t>
  </si>
  <si>
    <t>COMPUTADORA DELL 3080 I5/10TH GEN DISCO DURO 512G SSD/ MEMORIA 8GB/ MONITOR DELL 22" E2220</t>
  </si>
  <si>
    <t>GOBDOM-02-01820</t>
  </si>
  <si>
    <t>GOBDOM-02-01821</t>
  </si>
  <si>
    <t>GOBDOM-02-01823</t>
  </si>
  <si>
    <t>GOBDOM-02-01824</t>
  </si>
  <si>
    <t>GOBDOM-02-01825</t>
  </si>
  <si>
    <t>GOBDOM-02-01826</t>
  </si>
  <si>
    <t>GOBDOM-02-01827</t>
  </si>
  <si>
    <t>GOBDOM-02-01830</t>
  </si>
  <si>
    <t>GOBDOM-02-01831</t>
  </si>
  <si>
    <t>GOBDOM-02-01832</t>
  </si>
  <si>
    <t>GOBDOM-02-01833</t>
  </si>
  <si>
    <t>GOBDOM-02-01834</t>
  </si>
  <si>
    <t>GOBDOM-02-01835</t>
  </si>
  <si>
    <t>GOBDOM-02-01836</t>
  </si>
  <si>
    <t>GOBDOM-02-01837</t>
  </si>
  <si>
    <t>GOBDOM-02-01838</t>
  </si>
  <si>
    <t>GOBDOM-02-01839</t>
  </si>
  <si>
    <t>GOBDOM-02-01840</t>
  </si>
  <si>
    <t>GOBDOM-02-01841</t>
  </si>
  <si>
    <t>GOBDOM-02-01842</t>
  </si>
  <si>
    <t>GOBDOM-02-01843</t>
  </si>
  <si>
    <t>GOBDOM-02-01844</t>
  </si>
  <si>
    <t>GOBDOM-02-01845</t>
  </si>
  <si>
    <t>GOBDOM-02-01846</t>
  </si>
  <si>
    <t>GOBDOM-02-01847</t>
  </si>
  <si>
    <t>GOBDOM-02-01848</t>
  </si>
  <si>
    <t>GOBDOM-02-01849</t>
  </si>
  <si>
    <t>GOBDOM-02-01850</t>
  </si>
  <si>
    <t>GOBDOM-02-01851</t>
  </si>
  <si>
    <t>GOBDOM-02-01852</t>
  </si>
  <si>
    <t>GOBDOM-02-01853</t>
  </si>
  <si>
    <t>GOBDOM-02-01854</t>
  </si>
  <si>
    <t>GOBDOM-02-01855</t>
  </si>
  <si>
    <t>GOBDOM-02-01856</t>
  </si>
  <si>
    <t>GOBDOM-02-01857</t>
  </si>
  <si>
    <t>GOBDOM-02-01858</t>
  </si>
  <si>
    <t>GOBDOM-02-01859</t>
  </si>
  <si>
    <t>GOBDOM-02-01860</t>
  </si>
  <si>
    <t>GOBDOM-02-01861</t>
  </si>
  <si>
    <t>GOBDOM-02-01862</t>
  </si>
  <si>
    <t>GOBDOM-02-01863</t>
  </si>
  <si>
    <t>GOBDOM-02-01864</t>
  </si>
  <si>
    <t>GOBDOM-02-01865</t>
  </si>
  <si>
    <t>GOBDOM-02-01866</t>
  </si>
  <si>
    <t>GOBDOM-02-01867</t>
  </si>
  <si>
    <t>GOBDOM-02-01868</t>
  </si>
  <si>
    <t>GOBDOM-02-01869</t>
  </si>
  <si>
    <t>GOBDOM-02-01870</t>
  </si>
  <si>
    <t>GOBDOM-02-01871</t>
  </si>
  <si>
    <t>GOBDOM-02-01872</t>
  </si>
  <si>
    <t>GOBDOM-02-01873</t>
  </si>
  <si>
    <t>GOBDOM-02-01874</t>
  </si>
  <si>
    <t>GOBDOM-02-01875</t>
  </si>
  <si>
    <t>TELEFONO  GRANSTREAN GXP2130/PROTOCOL / STANDARDS</t>
  </si>
  <si>
    <t>COMPUTADORA DELL 3080 I5/10TH GEN DISCO DURO 512G SSD/ MEMORIA 8GB/ MONITOR DELL 22" E2220 3 AÑOS de GARANTIA</t>
  </si>
  <si>
    <t>COMPUTADORA DELL 3080 I5/10TH GEN DISCO DURO 512G SSD/ MEMORIA 8GB/ MONITOR DELL 22" E2220 /3 AÑOS de GARANTIA</t>
  </si>
  <si>
    <t>GXP1625</t>
  </si>
  <si>
    <t>GXP2130</t>
  </si>
  <si>
    <t xml:space="preserve">TELEFONO  GRANSTREAN GXP1625/ SIP RFC3261/TCP/PROTOCOL / STANDARDS 1 AÑO DE GARANTIA </t>
  </si>
  <si>
    <t>KIT DE INSTALACION DELUXE LAN  81PC PC QUEST( MALETIN)</t>
  </si>
  <si>
    <t xml:space="preserve">ASPIRADORA PORTABLE P/IMP PORTATIL INALAMBRICO </t>
  </si>
  <si>
    <t>BATERIA P/LAPTOP XP  13 PULGADA 9350 / 1AÑO DE GARANTIA</t>
  </si>
  <si>
    <t>BATERIA P/LAPTOP DELL LAPTITUDES  14 PULGADA 5480 /1AÑO DE GARANTIA</t>
  </si>
  <si>
    <t>BATERIA P/LAPTOP  DELL INSPIRON  15 "5567  / 1AÑO DE GARANTIA</t>
  </si>
  <si>
    <t>XP13</t>
  </si>
  <si>
    <t>BATERIA P/LAPTOP DELL LAPTITUDES  15 PULGADA /E5530 /1AÑO DE GARANTIA</t>
  </si>
  <si>
    <t>E5530</t>
  </si>
  <si>
    <t>TECLADO DELL KB216 USB BLACK ESPAÑOL</t>
  </si>
  <si>
    <t>KB12</t>
  </si>
  <si>
    <t>KB13</t>
  </si>
  <si>
    <t>KB14</t>
  </si>
  <si>
    <t>KB15</t>
  </si>
  <si>
    <t>KB16</t>
  </si>
  <si>
    <t xml:space="preserve">DISCO DURO INTERNO 500 GB SSD SATA/8 MESES DE GARANTIA </t>
  </si>
  <si>
    <t>500GB</t>
  </si>
  <si>
    <t>GOBDOM-02-01828</t>
  </si>
  <si>
    <t>GOBDOM-02-01829</t>
  </si>
  <si>
    <t xml:space="preserve">Oficina de Acesso a la Información                    Jenifer Maria Marti </t>
  </si>
  <si>
    <t xml:space="preserve">Almacenes  San cristobal </t>
  </si>
  <si>
    <r>
      <t>LICENCIA ADOBE ACROBAT PRO DC FOR TEAMS ALL MULTIPLE PLATORMS</t>
    </r>
    <r>
      <rPr>
        <b/>
        <sz val="9"/>
        <rFont val="Arial"/>
        <family val="2"/>
      </rPr>
      <t>,CANTIDAD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2 UNIDADES </t>
    </r>
  </si>
  <si>
    <t>Almacen san cristobal</t>
  </si>
  <si>
    <t>Almacen de Suministro</t>
  </si>
  <si>
    <t xml:space="preserve">Almacén de Suministro         Jhondan Anthonio Vicente </t>
  </si>
  <si>
    <t xml:space="preserve">Correspondencia       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</si>
</sst>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_€_-;\-* #,##0.00\ _€_-;_-* &quot;-&quot;??\ _€_-;_-@_-"/>
    <numFmt numFmtId="173" formatCode="_(* #,##0_);_(* \(#,##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1C0A]h:mm:ss\ AM/PM"/>
    <numFmt numFmtId="179" formatCode="[$-1C0A]dddd\,\ d\ &quot;de&quot;\ mmmm\ &quot;de&quot;\ yyyy"/>
    <numFmt numFmtId="180" formatCode="&quot;RD$&quot;#,##0.00_);\(&quot;RD$&quot;#,##0.00\)"/>
    <numFmt numFmtId="181" formatCode="[$RD$-1C0A]#,##0.00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_);_(* \(#,##0.0\);_(* &quot;-&quot;??_);_(@_)"/>
    <numFmt numFmtId="186" formatCode="mmm\-yyyy"/>
    <numFmt numFmtId="187" formatCode="[$-1C0A]d&quot; de &quot;mmmm&quot; de &quot;yyyy;@"/>
    <numFmt numFmtId="188" formatCode="0.000"/>
    <numFmt numFmtId="189" formatCode="0.0"/>
  </numFmts>
  <fonts count="1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48"/>
      <name val="Arial"/>
      <family val="2"/>
    </font>
    <font>
      <b/>
      <sz val="9"/>
      <name val="Tahoma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u val="single"/>
      <sz val="11"/>
      <color indexed="10"/>
      <name val="Arial"/>
      <family val="2"/>
    </font>
    <font>
      <b/>
      <sz val="10"/>
      <color indexed="9"/>
      <name val="Verdana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8"/>
      <name val="MS Sans Serif"/>
      <family val="0"/>
    </font>
    <font>
      <b/>
      <sz val="16"/>
      <color indexed="20"/>
      <name val="Arial"/>
      <family val="2"/>
    </font>
    <font>
      <b/>
      <sz val="11"/>
      <color indexed="9"/>
      <name val="Arial"/>
      <family val="2"/>
    </font>
    <font>
      <b/>
      <i/>
      <sz val="11"/>
      <color indexed="20"/>
      <name val="Arial"/>
      <family val="2"/>
    </font>
    <font>
      <sz val="10"/>
      <color indexed="8"/>
      <name val="MS Sans Serif"/>
      <family val="2"/>
    </font>
    <font>
      <b/>
      <sz val="9"/>
      <color indexed="2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8"/>
      <color indexed="1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20"/>
      <name val="Arial"/>
      <family val="2"/>
    </font>
    <font>
      <b/>
      <sz val="14"/>
      <color indexed="18"/>
      <name val="Arial"/>
      <family val="2"/>
    </font>
    <font>
      <sz val="16"/>
      <name val="Arial"/>
      <family val="2"/>
    </font>
    <font>
      <b/>
      <sz val="14"/>
      <color indexed="16"/>
      <name val="Arial"/>
      <family val="2"/>
    </font>
    <font>
      <b/>
      <sz val="10"/>
      <color indexed="18"/>
      <name val="Arial"/>
      <family val="2"/>
    </font>
    <font>
      <sz val="10"/>
      <name val="Tahoma"/>
      <family val="2"/>
    </font>
    <font>
      <b/>
      <i/>
      <sz val="10"/>
      <color indexed="4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i/>
      <sz val="9"/>
      <name val="Arial Black"/>
      <family val="2"/>
    </font>
    <font>
      <b/>
      <sz val="9"/>
      <name val="Arial Black"/>
      <family val="2"/>
    </font>
    <font>
      <sz val="9"/>
      <name val="Tahoma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Arial"/>
      <family val="2"/>
    </font>
    <font>
      <b/>
      <sz val="11"/>
      <name val="Tahoma"/>
      <family val="2"/>
    </font>
    <font>
      <sz val="10"/>
      <color indexed="18"/>
      <name val="Arial"/>
      <family val="2"/>
    </font>
    <font>
      <b/>
      <sz val="8"/>
      <color indexed="9"/>
      <name val="Verdana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10"/>
      <name val="Aharoni"/>
      <family val="0"/>
    </font>
    <font>
      <b/>
      <sz val="14"/>
      <color indexed="8"/>
      <name val="Arial"/>
      <family val="2"/>
    </font>
    <font>
      <b/>
      <sz val="14"/>
      <color indexed="56"/>
      <name val="Arial"/>
      <family val="2"/>
    </font>
    <font>
      <b/>
      <sz val="16"/>
      <color indexed="10"/>
      <name val="Arial"/>
      <family val="2"/>
    </font>
    <font>
      <b/>
      <sz val="16"/>
      <color indexed="10"/>
      <name val="Aharoni"/>
      <family val="0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Tahoma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0"/>
      <color rgb="FFCC0000"/>
      <name val="Aharoni"/>
      <family val="0"/>
    </font>
    <font>
      <b/>
      <sz val="14"/>
      <color theme="1"/>
      <name val="Arial"/>
      <family val="2"/>
    </font>
    <font>
      <b/>
      <sz val="14"/>
      <color rgb="FF002060"/>
      <name val="Arial"/>
      <family val="2"/>
    </font>
    <font>
      <b/>
      <sz val="16"/>
      <color rgb="FFFF0000"/>
      <name val="Arial"/>
      <family val="2"/>
    </font>
    <font>
      <b/>
      <sz val="16"/>
      <color rgb="FFCC0000"/>
      <name val="Aharoni"/>
      <family val="0"/>
    </font>
    <font>
      <b/>
      <sz val="11"/>
      <color theme="0"/>
      <name val="Arial"/>
      <family val="2"/>
    </font>
    <font>
      <b/>
      <sz val="11"/>
      <color theme="4"/>
      <name val="Arial"/>
      <family val="2"/>
    </font>
    <font>
      <sz val="8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sz val="8"/>
      <color theme="3" tint="0.39998000860214233"/>
      <name val="Tahoma"/>
      <family val="2"/>
    </font>
    <font>
      <sz val="10"/>
      <color theme="3" tint="0.39998000860214233"/>
      <name val="Arial"/>
      <family val="2"/>
    </font>
    <font>
      <sz val="10"/>
      <color theme="3" tint="0.39998000860214233"/>
      <name val="Tahoma"/>
      <family val="2"/>
    </font>
    <font>
      <b/>
      <sz val="10"/>
      <color rgb="FF002060"/>
      <name val="Arial"/>
      <family val="2"/>
    </font>
    <font>
      <b/>
      <sz val="10"/>
      <color theme="4" tint="-0.4999699890613556"/>
      <name val="Arial"/>
      <family val="2"/>
    </font>
    <font>
      <b/>
      <sz val="10"/>
      <color theme="4"/>
      <name val="Arial"/>
      <family val="2"/>
    </font>
    <font>
      <b/>
      <i/>
      <sz val="12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0" applyNumberFormat="0" applyBorder="0" applyAlignment="0" applyProtection="0"/>
    <xf numFmtId="0" fontId="93" fillId="21" borderId="1" applyNumberFormat="0" applyAlignment="0" applyProtection="0"/>
    <xf numFmtId="0" fontId="94" fillId="22" borderId="2" applyNumberFormat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1" fillId="21" borderId="6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7" applyNumberFormat="0" applyFill="0" applyAlignment="0" applyProtection="0"/>
    <xf numFmtId="0" fontId="97" fillId="0" borderId="8" applyNumberFormat="0" applyFill="0" applyAlignment="0" applyProtection="0"/>
    <xf numFmtId="0" fontId="106" fillId="0" borderId="9" applyNumberFormat="0" applyFill="0" applyAlignment="0" applyProtection="0"/>
  </cellStyleXfs>
  <cellXfs count="70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43" fontId="7" fillId="0" borderId="0" xfId="0" applyNumberFormat="1" applyFont="1" applyFill="1" applyBorder="1" applyAlignment="1" applyProtection="1">
      <alignment vertical="top"/>
      <protection/>
    </xf>
    <xf numFmtId="173" fontId="7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top"/>
      <protection locked="0"/>
    </xf>
    <xf numFmtId="43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14" fillId="0" borderId="0" xfId="49" applyFont="1" applyFill="1" applyBorder="1" applyAlignment="1" applyProtection="1">
      <alignment vertical="top"/>
      <protection locked="0"/>
    </xf>
    <xf numFmtId="43" fontId="7" fillId="0" borderId="10" xfId="0" applyNumberFormat="1" applyFont="1" applyFill="1" applyBorder="1" applyAlignment="1" applyProtection="1">
      <alignment vertical="top"/>
      <protection/>
    </xf>
    <xf numFmtId="173" fontId="7" fillId="0" borderId="1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Fill="1" applyBorder="1" applyAlignment="1" applyProtection="1">
      <alignment/>
      <protection locked="0"/>
    </xf>
    <xf numFmtId="15" fontId="1" fillId="0" borderId="10" xfId="0" applyNumberFormat="1" applyFont="1" applyFill="1" applyBorder="1" applyAlignment="1" applyProtection="1" quotePrefix="1">
      <alignment vertical="top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5" fontId="1" fillId="0" borderId="10" xfId="0" applyNumberFormat="1" applyFont="1" applyFill="1" applyBorder="1" applyAlignment="1" applyProtection="1" quotePrefix="1">
      <alignment horizontal="center" vertical="top"/>
      <protection locked="0"/>
    </xf>
    <xf numFmtId="43" fontId="1" fillId="0" borderId="10" xfId="52" applyFont="1" applyFill="1" applyBorder="1" applyAlignment="1" applyProtection="1">
      <alignment vertical="top"/>
      <protection locked="0"/>
    </xf>
    <xf numFmtId="43" fontId="7" fillId="0" borderId="10" xfId="52" applyFont="1" applyFill="1" applyBorder="1" applyAlignment="1" applyProtection="1">
      <alignment vertical="top"/>
      <protection/>
    </xf>
    <xf numFmtId="0" fontId="1" fillId="0" borderId="10" xfId="61" applyFont="1" applyFill="1" applyBorder="1" applyAlignment="1" applyProtection="1">
      <alignment horizontal="left" vertical="top" wrapText="1"/>
      <protection locked="0"/>
    </xf>
    <xf numFmtId="43" fontId="7" fillId="0" borderId="10" xfId="52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>
      <alignment/>
    </xf>
    <xf numFmtId="0" fontId="1" fillId="0" borderId="0" xfId="61" applyFont="1" applyFill="1" applyProtection="1">
      <alignment/>
      <protection locked="0"/>
    </xf>
    <xf numFmtId="0" fontId="16" fillId="0" borderId="0" xfId="61" applyFont="1" applyFill="1" applyAlignment="1" applyProtection="1">
      <alignment horizontal="left"/>
      <protection locked="0"/>
    </xf>
    <xf numFmtId="0" fontId="1" fillId="0" borderId="0" xfId="61" applyFont="1" applyFill="1" applyBorder="1" applyProtection="1">
      <alignment/>
      <protection locked="0"/>
    </xf>
    <xf numFmtId="0" fontId="27" fillId="0" borderId="0" xfId="61" applyFont="1" applyFill="1" applyBorder="1" applyAlignment="1" applyProtection="1">
      <alignment horizontal="left" vertical="center"/>
      <protection locked="0"/>
    </xf>
    <xf numFmtId="0" fontId="27" fillId="0" borderId="12" xfId="61" applyFont="1" applyFill="1" applyBorder="1" applyAlignment="1" applyProtection="1">
      <alignment horizontal="left" vertical="center"/>
      <protection locked="0"/>
    </xf>
    <xf numFmtId="0" fontId="1" fillId="0" borderId="0" xfId="61" applyFont="1" applyFill="1" applyBorder="1" applyAlignment="1" applyProtection="1">
      <alignment horizontal="center"/>
      <protection/>
    </xf>
    <xf numFmtId="0" fontId="1" fillId="0" borderId="0" xfId="61" applyFont="1" applyFill="1" applyAlignment="1" applyProtection="1">
      <alignment horizontal="center"/>
      <protection/>
    </xf>
    <xf numFmtId="15" fontId="1" fillId="0" borderId="10" xfId="61" applyNumberFormat="1" applyFont="1" applyFill="1" applyBorder="1" applyAlignment="1" applyProtection="1" quotePrefix="1">
      <alignment vertical="top"/>
      <protection locked="0"/>
    </xf>
    <xf numFmtId="0" fontId="1" fillId="0" borderId="10" xfId="61" applyFont="1" applyFill="1" applyBorder="1" applyAlignment="1" applyProtection="1">
      <alignment vertical="top" wrapText="1"/>
      <protection locked="0"/>
    </xf>
    <xf numFmtId="0" fontId="1" fillId="0" borderId="10" xfId="61" applyFont="1" applyFill="1" applyBorder="1" applyAlignment="1" applyProtection="1">
      <alignment horizontal="center" vertical="top" wrapText="1"/>
      <protection locked="0"/>
    </xf>
    <xf numFmtId="43" fontId="7" fillId="0" borderId="10" xfId="61" applyNumberFormat="1" applyFont="1" applyFill="1" applyBorder="1" applyAlignment="1" applyProtection="1">
      <alignment vertical="top"/>
      <protection/>
    </xf>
    <xf numFmtId="173" fontId="7" fillId="0" borderId="10" xfId="61" applyNumberFormat="1" applyFont="1" applyFill="1" applyBorder="1" applyAlignment="1" applyProtection="1">
      <alignment vertical="top"/>
      <protection/>
    </xf>
    <xf numFmtId="43" fontId="7" fillId="0" borderId="10" xfId="57" applyFont="1" applyFill="1" applyBorder="1" applyAlignment="1" applyProtection="1">
      <alignment horizontal="center" vertical="top" wrapText="1"/>
      <protection/>
    </xf>
    <xf numFmtId="43" fontId="1" fillId="0" borderId="10" xfId="57" applyFont="1" applyFill="1" applyBorder="1" applyAlignment="1" applyProtection="1">
      <alignment vertical="top"/>
      <protection locked="0"/>
    </xf>
    <xf numFmtId="43" fontId="7" fillId="0" borderId="10" xfId="57" applyFont="1" applyFill="1" applyBorder="1" applyAlignment="1" applyProtection="1">
      <alignment vertical="top"/>
      <protection/>
    </xf>
    <xf numFmtId="14" fontId="1" fillId="0" borderId="10" xfId="61" applyNumberFormat="1" applyFont="1" applyFill="1" applyBorder="1" applyAlignment="1" applyProtection="1" quotePrefix="1">
      <alignment/>
      <protection locked="0"/>
    </xf>
    <xf numFmtId="43" fontId="1" fillId="0" borderId="10" xfId="52" applyFont="1" applyFill="1" applyBorder="1" applyAlignment="1" applyProtection="1">
      <alignment wrapText="1"/>
      <protection locked="0"/>
    </xf>
    <xf numFmtId="43" fontId="1" fillId="0" borderId="10" xfId="52" applyFont="1" applyFill="1" applyBorder="1" applyAlignment="1" applyProtection="1">
      <alignment horizontal="center" wrapText="1"/>
      <protection locked="0"/>
    </xf>
    <xf numFmtId="43" fontId="20" fillId="0" borderId="10" xfId="52" applyFont="1" applyFill="1" applyBorder="1" applyAlignment="1" applyProtection="1">
      <alignment wrapText="1"/>
      <protection locked="0"/>
    </xf>
    <xf numFmtId="43" fontId="1" fillId="0" borderId="10" xfId="61" applyNumberFormat="1" applyFont="1" applyFill="1" applyBorder="1" applyAlignment="1" applyProtection="1">
      <alignment wrapText="1"/>
      <protection locked="0"/>
    </xf>
    <xf numFmtId="15" fontId="1" fillId="0" borderId="13" xfId="61" applyNumberFormat="1" applyFont="1" applyFill="1" applyBorder="1" applyAlignment="1" applyProtection="1" quotePrefix="1">
      <alignment/>
      <protection locked="0"/>
    </xf>
    <xf numFmtId="0" fontId="1" fillId="0" borderId="14" xfId="61" applyFont="1" applyFill="1" applyBorder="1" applyAlignment="1" applyProtection="1">
      <alignment wrapText="1"/>
      <protection locked="0"/>
    </xf>
    <xf numFmtId="0" fontId="1" fillId="0" borderId="15" xfId="61" applyFont="1" applyFill="1" applyBorder="1" applyAlignment="1" applyProtection="1">
      <alignment wrapText="1"/>
      <protection locked="0"/>
    </xf>
    <xf numFmtId="15" fontId="1" fillId="0" borderId="16" xfId="61" applyNumberFormat="1" applyFont="1" applyFill="1" applyBorder="1" applyAlignment="1" applyProtection="1" quotePrefix="1">
      <alignment vertical="top"/>
      <protection locked="0"/>
    </xf>
    <xf numFmtId="0" fontId="1" fillId="0" borderId="0" xfId="61" applyFont="1" applyFill="1" applyBorder="1" applyAlignment="1" applyProtection="1">
      <alignment horizontal="center" vertical="top" wrapText="1"/>
      <protection locked="0"/>
    </xf>
    <xf numFmtId="0" fontId="1" fillId="0" borderId="0" xfId="61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top"/>
      <protection locked="0"/>
    </xf>
    <xf numFmtId="43" fontId="1" fillId="0" borderId="0" xfId="52" applyFont="1" applyFill="1" applyBorder="1" applyAlignment="1" applyProtection="1">
      <alignment vertical="top"/>
      <protection locked="0"/>
    </xf>
    <xf numFmtId="43" fontId="7" fillId="0" borderId="0" xfId="52" applyFont="1" applyFill="1" applyBorder="1" applyAlignment="1" applyProtection="1">
      <alignment vertical="top"/>
      <protection/>
    </xf>
    <xf numFmtId="0" fontId="7" fillId="0" borderId="0" xfId="61" applyFont="1" applyFill="1" applyBorder="1" applyAlignment="1" applyProtection="1">
      <alignment vertical="top"/>
      <protection locked="0"/>
    </xf>
    <xf numFmtId="43" fontId="7" fillId="0" borderId="0" xfId="61" applyNumberFormat="1" applyFont="1" applyFill="1" applyBorder="1" applyAlignment="1" applyProtection="1">
      <alignment vertical="top"/>
      <protection/>
    </xf>
    <xf numFmtId="173" fontId="7" fillId="0" borderId="0" xfId="61" applyNumberFormat="1" applyFont="1" applyFill="1" applyBorder="1" applyAlignment="1" applyProtection="1">
      <alignment vertical="top"/>
      <protection/>
    </xf>
    <xf numFmtId="0" fontId="1" fillId="0" borderId="11" xfId="61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vertical="top"/>
      <protection locked="0"/>
    </xf>
    <xf numFmtId="172" fontId="11" fillId="0" borderId="0" xfId="61" applyNumberFormat="1" applyFont="1" applyFill="1" applyBorder="1" applyAlignment="1" applyProtection="1">
      <alignment horizontal="center" vertical="top"/>
      <protection locked="0"/>
    </xf>
    <xf numFmtId="0" fontId="9" fillId="0" borderId="0" xfId="61" applyFont="1" applyFill="1" applyBorder="1" applyAlignment="1" applyProtection="1">
      <alignment horizontal="center" vertical="top"/>
      <protection locked="0"/>
    </xf>
    <xf numFmtId="0" fontId="23" fillId="0" borderId="0" xfId="61" applyFont="1" applyFill="1" applyBorder="1" applyAlignment="1">
      <alignment horizontal="right"/>
      <protection/>
    </xf>
    <xf numFmtId="0" fontId="24" fillId="0" borderId="0" xfId="61" applyFont="1" applyFill="1" applyBorder="1">
      <alignment/>
      <protection/>
    </xf>
    <xf numFmtId="43" fontId="8" fillId="0" borderId="0" xfId="61" applyNumberFormat="1" applyFont="1" applyFill="1" applyBorder="1" applyAlignment="1" applyProtection="1">
      <alignment horizontal="center" vertical="top" wrapText="1"/>
      <protection locked="0"/>
    </xf>
    <xf numFmtId="0" fontId="24" fillId="0" borderId="0" xfId="61" applyFont="1" applyFill="1" applyBorder="1" applyAlignment="1">
      <alignment vertical="top"/>
      <protection/>
    </xf>
    <xf numFmtId="43" fontId="1" fillId="0" borderId="0" xfId="52" applyFont="1" applyFill="1" applyBorder="1" applyAlignment="1" applyProtection="1">
      <alignment vertical="top" wrapText="1"/>
      <protection locked="0"/>
    </xf>
    <xf numFmtId="43" fontId="13" fillId="0" borderId="0" xfId="52" applyFont="1" applyFill="1" applyBorder="1" applyAlignment="1" applyProtection="1">
      <alignment vertical="top"/>
      <protection locked="0"/>
    </xf>
    <xf numFmtId="43" fontId="13" fillId="0" borderId="0" xfId="52" applyFont="1" applyFill="1" applyBorder="1" applyAlignment="1" applyProtection="1">
      <alignment vertical="top" wrapText="1"/>
      <protection locked="0"/>
    </xf>
    <xf numFmtId="43" fontId="14" fillId="0" borderId="0" xfId="52" applyFont="1" applyFill="1" applyBorder="1" applyAlignment="1" applyProtection="1">
      <alignment vertical="top"/>
      <protection locked="0"/>
    </xf>
    <xf numFmtId="43" fontId="1" fillId="0" borderId="0" xfId="61" applyNumberFormat="1" applyFont="1" applyFill="1" applyBorder="1" applyProtection="1">
      <alignment/>
      <protection locked="0"/>
    </xf>
    <xf numFmtId="0" fontId="8" fillId="0" borderId="0" xfId="61" applyFont="1" applyFill="1" applyBorder="1" applyAlignment="1" applyProtection="1">
      <alignment horizontal="center"/>
      <protection locked="0"/>
    </xf>
    <xf numFmtId="43" fontId="12" fillId="0" borderId="0" xfId="52" applyNumberFormat="1" applyFont="1" applyFill="1" applyBorder="1" applyAlignment="1" applyProtection="1">
      <alignment horizontal="center"/>
      <protection locked="0"/>
    </xf>
    <xf numFmtId="0" fontId="21" fillId="0" borderId="16" xfId="61" applyFont="1" applyBorder="1">
      <alignment/>
      <protection/>
    </xf>
    <xf numFmtId="0" fontId="21" fillId="0" borderId="0" xfId="61" applyFont="1" applyBorder="1">
      <alignment/>
      <protection/>
    </xf>
    <xf numFmtId="0" fontId="30" fillId="0" borderId="0" xfId="61" applyFont="1" applyBorder="1">
      <alignment/>
      <protection/>
    </xf>
    <xf numFmtId="43" fontId="8" fillId="0" borderId="0" xfId="52" applyFont="1" applyFill="1" applyBorder="1" applyAlignment="1" applyProtection="1">
      <alignment horizontal="center"/>
      <protection locked="0"/>
    </xf>
    <xf numFmtId="172" fontId="31" fillId="0" borderId="0" xfId="61" applyNumberFormat="1" applyFont="1" applyFill="1" applyBorder="1" applyProtection="1">
      <alignment/>
      <protection locked="0"/>
    </xf>
    <xf numFmtId="43" fontId="32" fillId="0" borderId="0" xfId="52" applyNumberFormat="1" applyFont="1" applyFill="1" applyBorder="1" applyAlignment="1" applyProtection="1">
      <alignment horizontal="left"/>
      <protection locked="0"/>
    </xf>
    <xf numFmtId="172" fontId="1" fillId="0" borderId="0" xfId="61" applyNumberFormat="1" applyFont="1" applyFill="1" applyBorder="1" applyProtection="1">
      <alignment/>
      <protection locked="0"/>
    </xf>
    <xf numFmtId="43" fontId="107" fillId="0" borderId="0" xfId="61" applyNumberFormat="1" applyFont="1" applyBorder="1">
      <alignment/>
      <protection/>
    </xf>
    <xf numFmtId="15" fontId="1" fillId="0" borderId="17" xfId="61" applyNumberFormat="1" applyFont="1" applyFill="1" applyBorder="1" applyAlignment="1" applyProtection="1" quotePrefix="1">
      <alignment vertical="top"/>
      <protection locked="0"/>
    </xf>
    <xf numFmtId="0" fontId="1" fillId="0" borderId="12" xfId="61" applyFont="1" applyFill="1" applyBorder="1" applyAlignment="1" applyProtection="1">
      <alignment vertical="top"/>
      <protection locked="0"/>
    </xf>
    <xf numFmtId="0" fontId="8" fillId="0" borderId="12" xfId="61" applyFont="1" applyFill="1" applyBorder="1" applyAlignment="1" applyProtection="1">
      <alignment horizontal="center"/>
      <protection locked="0"/>
    </xf>
    <xf numFmtId="43" fontId="12" fillId="0" borderId="12" xfId="52" applyNumberFormat="1" applyFont="1" applyFill="1" applyBorder="1" applyAlignment="1" applyProtection="1">
      <alignment horizontal="center"/>
      <protection locked="0"/>
    </xf>
    <xf numFmtId="43" fontId="14" fillId="0" borderId="12" xfId="52" applyFont="1" applyFill="1" applyBorder="1" applyAlignment="1" applyProtection="1">
      <alignment vertical="top"/>
      <protection locked="0"/>
    </xf>
    <xf numFmtId="0" fontId="1" fillId="0" borderId="12" xfId="61" applyFont="1" applyFill="1" applyBorder="1" applyProtection="1">
      <alignment/>
      <protection locked="0"/>
    </xf>
    <xf numFmtId="0" fontId="1" fillId="0" borderId="18" xfId="61" applyFont="1" applyFill="1" applyBorder="1" applyAlignment="1" applyProtection="1">
      <alignment vertical="top" wrapText="1"/>
      <protection locked="0"/>
    </xf>
    <xf numFmtId="15" fontId="1" fillId="0" borderId="13" xfId="61" applyNumberFormat="1" applyFont="1" applyFill="1" applyBorder="1" applyAlignment="1" applyProtection="1" quotePrefix="1">
      <alignment vertical="top"/>
      <protection locked="0"/>
    </xf>
    <xf numFmtId="0" fontId="1" fillId="0" borderId="14" xfId="61" applyFont="1" applyFill="1" applyBorder="1" applyAlignment="1" applyProtection="1">
      <alignment vertical="top"/>
      <protection locked="0"/>
    </xf>
    <xf numFmtId="0" fontId="1" fillId="0" borderId="14" xfId="61" applyFont="1" applyFill="1" applyBorder="1" applyAlignment="1" applyProtection="1">
      <alignment vertical="top" wrapText="1"/>
      <protection locked="0"/>
    </xf>
    <xf numFmtId="0" fontId="8" fillId="0" borderId="14" xfId="61" applyFont="1" applyFill="1" applyBorder="1" applyAlignment="1" applyProtection="1">
      <alignment horizontal="center"/>
      <protection locked="0"/>
    </xf>
    <xf numFmtId="43" fontId="12" fillId="0" borderId="14" xfId="52" applyNumberFormat="1" applyFont="1" applyFill="1" applyBorder="1" applyAlignment="1" applyProtection="1">
      <alignment horizontal="center"/>
      <protection locked="0"/>
    </xf>
    <xf numFmtId="43" fontId="14" fillId="0" borderId="14" xfId="52" applyFont="1" applyFill="1" applyBorder="1" applyAlignment="1" applyProtection="1">
      <alignment vertical="top"/>
      <protection locked="0"/>
    </xf>
    <xf numFmtId="0" fontId="1" fillId="0" borderId="14" xfId="61" applyFont="1" applyFill="1" applyBorder="1" applyProtection="1">
      <alignment/>
      <protection locked="0"/>
    </xf>
    <xf numFmtId="0" fontId="1" fillId="0" borderId="15" xfId="61" applyFont="1" applyFill="1" applyBorder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/>
      <protection locked="0"/>
    </xf>
    <xf numFmtId="4" fontId="5" fillId="0" borderId="0" xfId="61" applyNumberFormat="1" applyFont="1" applyFill="1" applyBorder="1" applyAlignment="1" applyProtection="1">
      <alignment vertical="top" wrapText="1"/>
      <protection locked="0"/>
    </xf>
    <xf numFmtId="43" fontId="33" fillId="0" borderId="0" xfId="61" applyNumberFormat="1" applyFont="1" applyFill="1" applyBorder="1" applyAlignment="1" applyProtection="1">
      <alignment horizontal="center"/>
      <protection locked="0"/>
    </xf>
    <xf numFmtId="0" fontId="24" fillId="0" borderId="0" xfId="61" applyFont="1" applyFill="1" applyBorder="1" applyAlignment="1" applyProtection="1">
      <alignment horizontal="center"/>
      <protection locked="0"/>
    </xf>
    <xf numFmtId="0" fontId="24" fillId="0" borderId="0" xfId="61" applyFont="1" applyFill="1" applyBorder="1" applyAlignment="1" applyProtection="1">
      <alignment horizontal="left"/>
      <protection locked="0"/>
    </xf>
    <xf numFmtId="0" fontId="5" fillId="0" borderId="0" xfId="61" applyFont="1" applyFill="1" applyProtection="1">
      <alignment/>
      <protection locked="0"/>
    </xf>
    <xf numFmtId="0" fontId="5" fillId="0" borderId="0" xfId="61" applyFont="1" applyFill="1" applyBorder="1" applyProtection="1">
      <alignment/>
      <protection locked="0"/>
    </xf>
    <xf numFmtId="4" fontId="8" fillId="0" borderId="0" xfId="61" applyNumberFormat="1" applyFont="1" applyFill="1" applyBorder="1" applyAlignment="1" applyProtection="1">
      <alignment horizontal="center"/>
      <protection locked="0"/>
    </xf>
    <xf numFmtId="4" fontId="1" fillId="0" borderId="0" xfId="61" applyNumberFormat="1" applyFont="1" applyFill="1" applyBorder="1" applyAlignment="1" applyProtection="1">
      <alignment vertical="top" wrapText="1"/>
      <protection locked="0"/>
    </xf>
    <xf numFmtId="0" fontId="1" fillId="0" borderId="12" xfId="61" applyFont="1" applyFill="1" applyBorder="1" applyAlignment="1" applyProtection="1">
      <alignment vertical="top" wrapText="1"/>
      <protection locked="0"/>
    </xf>
    <xf numFmtId="43" fontId="8" fillId="0" borderId="0" xfId="61" applyNumberFormat="1" applyFont="1" applyFill="1" applyBorder="1" applyAlignment="1" applyProtection="1">
      <alignment horizontal="center"/>
      <protection locked="0"/>
    </xf>
    <xf numFmtId="0" fontId="25" fillId="0" borderId="0" xfId="61" applyFont="1" applyFill="1" applyBorder="1" applyAlignment="1">
      <alignment horizontal="left"/>
      <protection/>
    </xf>
    <xf numFmtId="0" fontId="34" fillId="0" borderId="0" xfId="61" applyFont="1" applyFill="1" applyProtection="1">
      <alignment/>
      <protection locked="0"/>
    </xf>
    <xf numFmtId="0" fontId="34" fillId="0" borderId="0" xfId="61" applyFont="1" applyFill="1" applyBorder="1" applyProtection="1">
      <alignment/>
      <protection locked="0"/>
    </xf>
    <xf numFmtId="0" fontId="5" fillId="0" borderId="0" xfId="61" applyFont="1" applyFill="1" applyBorder="1" applyAlignment="1">
      <alignment horizontal="left"/>
      <protection/>
    </xf>
    <xf numFmtId="0" fontId="0" fillId="0" borderId="0" xfId="61" applyFill="1">
      <alignment/>
      <protection/>
    </xf>
    <xf numFmtId="0" fontId="1" fillId="0" borderId="0" xfId="61" applyFont="1" applyFill="1" applyAlignment="1">
      <alignment horizontal="center"/>
      <protection/>
    </xf>
    <xf numFmtId="43" fontId="4" fillId="0" borderId="0" xfId="52" applyFont="1" applyFill="1" applyAlignment="1">
      <alignment horizontal="center"/>
    </xf>
    <xf numFmtId="0" fontId="0" fillId="0" borderId="0" xfId="61" applyFill="1" applyAlignment="1">
      <alignment horizontal="center"/>
      <protection/>
    </xf>
    <xf numFmtId="172" fontId="35" fillId="0" borderId="0" xfId="61" applyNumberFormat="1" applyFont="1" applyFill="1" applyAlignment="1">
      <alignment horizontal="center"/>
      <protection/>
    </xf>
    <xf numFmtId="43" fontId="0" fillId="0" borderId="0" xfId="52" applyFont="1" applyFill="1" applyAlignment="1">
      <alignment horizontal="center"/>
    </xf>
    <xf numFmtId="43" fontId="0" fillId="0" borderId="0" xfId="61" applyNumberFormat="1" applyFill="1">
      <alignment/>
      <protection/>
    </xf>
    <xf numFmtId="0" fontId="20" fillId="0" borderId="0" xfId="61" applyFont="1" applyFill="1" applyBorder="1" applyAlignment="1" applyProtection="1">
      <alignment vertical="top" wrapText="1"/>
      <protection locked="0"/>
    </xf>
    <xf numFmtId="4" fontId="1" fillId="0" borderId="12" xfId="61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left" vertical="center"/>
      <protection locked="0"/>
    </xf>
    <xf numFmtId="43" fontId="1" fillId="0" borderId="10" xfId="56" applyFont="1" applyFill="1" applyBorder="1" applyAlignment="1" applyProtection="1">
      <alignment vertical="top" wrapText="1"/>
      <protection locked="0"/>
    </xf>
    <xf numFmtId="43" fontId="1" fillId="0" borderId="10" xfId="56" applyFont="1" applyFill="1" applyBorder="1" applyAlignment="1" applyProtection="1">
      <alignment vertical="top"/>
      <protection locked="0"/>
    </xf>
    <xf numFmtId="43" fontId="7" fillId="0" borderId="10" xfId="56" applyFont="1" applyFill="1" applyBorder="1" applyAlignment="1" applyProtection="1">
      <alignment vertical="top"/>
      <protection/>
    </xf>
    <xf numFmtId="43" fontId="1" fillId="33" borderId="10" xfId="56" applyFont="1" applyFill="1" applyBorder="1" applyAlignment="1" applyProtection="1">
      <alignment vertical="top" wrapText="1"/>
      <protection locked="0"/>
    </xf>
    <xf numFmtId="14" fontId="1" fillId="0" borderId="10" xfId="0" applyNumberFormat="1" applyFont="1" applyFill="1" applyBorder="1" applyAlignment="1" applyProtection="1" quotePrefix="1">
      <alignment horizontal="center"/>
      <protection locked="0"/>
    </xf>
    <xf numFmtId="43" fontId="1" fillId="0" borderId="10" xfId="56" applyFont="1" applyFill="1" applyBorder="1" applyAlignment="1" applyProtection="1">
      <alignment horizontal="center" wrapText="1"/>
      <protection locked="0"/>
    </xf>
    <xf numFmtId="43" fontId="1" fillId="0" borderId="10" xfId="56" applyFont="1" applyFill="1" applyBorder="1" applyAlignment="1" applyProtection="1">
      <alignment wrapText="1"/>
      <protection locked="0"/>
    </xf>
    <xf numFmtId="43" fontId="20" fillId="0" borderId="10" xfId="56" applyFont="1" applyFill="1" applyBorder="1" applyAlignment="1" applyProtection="1">
      <alignment wrapText="1"/>
      <protection locked="0"/>
    </xf>
    <xf numFmtId="43" fontId="1" fillId="0" borderId="10" xfId="0" applyNumberFormat="1" applyFont="1" applyFill="1" applyBorder="1" applyAlignment="1" applyProtection="1">
      <alignment wrapText="1"/>
      <protection locked="0"/>
    </xf>
    <xf numFmtId="15" fontId="1" fillId="0" borderId="13" xfId="0" applyNumberFormat="1" applyFont="1" applyFill="1" applyBorder="1" applyAlignment="1" applyProtection="1" quotePrefix="1">
      <alignment horizontal="center"/>
      <protection locked="0"/>
    </xf>
    <xf numFmtId="0" fontId="1" fillId="0" borderId="14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5" fontId="1" fillId="0" borderId="16" xfId="0" applyNumberFormat="1" applyFont="1" applyFill="1" applyBorder="1" applyAlignment="1" applyProtection="1" quotePrefix="1">
      <alignment horizont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43" fontId="4" fillId="0" borderId="0" xfId="56" applyFont="1" applyFill="1" applyBorder="1" applyAlignment="1" applyProtection="1">
      <alignment/>
      <protection locked="0"/>
    </xf>
    <xf numFmtId="43" fontId="1" fillId="0" borderId="0" xfId="56" applyFont="1" applyFill="1" applyBorder="1" applyAlignment="1" applyProtection="1">
      <alignment/>
      <protection locked="0"/>
    </xf>
    <xf numFmtId="43" fontId="7" fillId="0" borderId="0" xfId="56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wrapText="1"/>
      <protection locked="0"/>
    </xf>
    <xf numFmtId="15" fontId="1" fillId="0" borderId="16" xfId="0" applyNumberFormat="1" applyFont="1" applyFill="1" applyBorder="1" applyAlignment="1" applyProtection="1" quotePrefix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43" fontId="1" fillId="0" borderId="0" xfId="56" applyFont="1" applyFill="1" applyBorder="1" applyAlignment="1" applyProtection="1">
      <alignment vertical="top"/>
      <protection locked="0"/>
    </xf>
    <xf numFmtId="43" fontId="7" fillId="0" borderId="0" xfId="56" applyFont="1" applyFill="1" applyBorder="1" applyAlignment="1" applyProtection="1">
      <alignment vertical="top"/>
      <protection/>
    </xf>
    <xf numFmtId="0" fontId="1" fillId="0" borderId="11" xfId="0" applyFont="1" applyFill="1" applyBorder="1" applyAlignment="1" applyProtection="1">
      <alignment vertical="top" wrapText="1"/>
      <protection locked="0"/>
    </xf>
    <xf numFmtId="43" fontId="1" fillId="0" borderId="0" xfId="56" applyFont="1" applyFill="1" applyBorder="1" applyAlignment="1" applyProtection="1">
      <alignment horizontal="center" vertical="top"/>
      <protection locked="0"/>
    </xf>
    <xf numFmtId="43" fontId="1" fillId="0" borderId="0" xfId="56" applyFont="1" applyFill="1" applyBorder="1" applyAlignment="1" applyProtection="1">
      <alignment vertical="top" wrapText="1"/>
      <protection locked="0"/>
    </xf>
    <xf numFmtId="43" fontId="13" fillId="0" borderId="0" xfId="56" applyFont="1" applyFill="1" applyBorder="1" applyAlignment="1" applyProtection="1">
      <alignment vertical="top"/>
      <protection locked="0"/>
    </xf>
    <xf numFmtId="43" fontId="13" fillId="0" borderId="0" xfId="56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3" fontId="12" fillId="0" borderId="0" xfId="56" applyNumberFormat="1" applyFont="1" applyFill="1" applyBorder="1" applyAlignment="1" applyProtection="1">
      <alignment horizontal="center"/>
      <protection locked="0"/>
    </xf>
    <xf numFmtId="43" fontId="14" fillId="0" borderId="0" xfId="56" applyFont="1" applyFill="1" applyBorder="1" applyAlignment="1" applyProtection="1">
      <alignment vertical="top"/>
      <protection locked="0"/>
    </xf>
    <xf numFmtId="15" fontId="1" fillId="0" borderId="13" xfId="0" applyNumberFormat="1" applyFont="1" applyFill="1" applyBorder="1" applyAlignment="1" applyProtection="1" quotePrefix="1">
      <alignment horizontal="center" vertical="top"/>
      <protection locked="0"/>
    </xf>
    <xf numFmtId="0" fontId="1" fillId="0" borderId="14" xfId="0" applyFont="1" applyFill="1" applyBorder="1" applyAlignment="1" applyProtection="1">
      <alignment horizontal="center" vertical="top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43" fontId="12" fillId="0" borderId="14" xfId="56" applyNumberFormat="1" applyFont="1" applyFill="1" applyBorder="1" applyAlignment="1" applyProtection="1">
      <alignment horizontal="center"/>
      <protection locked="0"/>
    </xf>
    <xf numFmtId="43" fontId="14" fillId="0" borderId="14" xfId="56" applyFont="1" applyFill="1" applyBorder="1" applyAlignment="1" applyProtection="1">
      <alignment vertical="top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 vertical="top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Border="1" applyAlignment="1">
      <alignment horizontal="left"/>
    </xf>
    <xf numFmtId="0" fontId="34" fillId="0" borderId="0" xfId="0" applyFont="1" applyFill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left"/>
    </xf>
    <xf numFmtId="0" fontId="8" fillId="0" borderId="12" xfId="0" applyFont="1" applyFill="1" applyBorder="1" applyAlignment="1" applyProtection="1">
      <alignment horizontal="center"/>
      <protection locked="0"/>
    </xf>
    <xf numFmtId="43" fontId="12" fillId="0" borderId="12" xfId="56" applyNumberFormat="1" applyFont="1" applyFill="1" applyBorder="1" applyAlignment="1" applyProtection="1">
      <alignment horizontal="center"/>
      <protection locked="0"/>
    </xf>
    <xf numFmtId="43" fontId="12" fillId="0" borderId="12" xfId="56" applyFont="1" applyFill="1" applyBorder="1" applyAlignment="1" applyProtection="1">
      <alignment horizontal="center"/>
      <protection locked="0"/>
    </xf>
    <xf numFmtId="43" fontId="14" fillId="0" borderId="12" xfId="56" applyFont="1" applyFill="1" applyBorder="1" applyAlignment="1" applyProtection="1">
      <alignment vertical="top"/>
      <protection locked="0"/>
    </xf>
    <xf numFmtId="0" fontId="0" fillId="0" borderId="12" xfId="0" applyFill="1" applyBorder="1" applyAlignment="1">
      <alignment/>
    </xf>
    <xf numFmtId="0" fontId="1" fillId="0" borderId="18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43" fontId="4" fillId="0" borderId="0" xfId="56" applyFont="1" applyFill="1" applyAlignment="1">
      <alignment horizontal="center"/>
    </xf>
    <xf numFmtId="172" fontId="35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 applyProtection="1">
      <alignment vertical="top" wrapText="1"/>
      <protection locked="0"/>
    </xf>
    <xf numFmtId="43" fontId="1" fillId="0" borderId="10" xfId="52" applyFont="1" applyFill="1" applyBorder="1" applyAlignment="1" applyProtection="1">
      <alignment vertical="top" wrapText="1"/>
      <protection locked="0"/>
    </xf>
    <xf numFmtId="49" fontId="1" fillId="0" borderId="10" xfId="61" applyNumberFormat="1" applyFont="1" applyFill="1" applyBorder="1" applyAlignment="1" applyProtection="1">
      <alignment horizontal="center" vertical="top" wrapText="1"/>
      <protection locked="0"/>
    </xf>
    <xf numFmtId="43" fontId="7" fillId="0" borderId="10" xfId="53" applyFont="1" applyFill="1" applyBorder="1" applyAlignment="1" applyProtection="1">
      <alignment horizontal="center" vertical="top" wrapText="1"/>
      <protection/>
    </xf>
    <xf numFmtId="15" fontId="1" fillId="0" borderId="16" xfId="61" applyNumberFormat="1" applyFont="1" applyFill="1" applyBorder="1" applyAlignment="1" applyProtection="1" quotePrefix="1">
      <alignment/>
      <protection locked="0"/>
    </xf>
    <xf numFmtId="0" fontId="19" fillId="0" borderId="0" xfId="61" applyFont="1" applyFill="1" applyBorder="1" applyAlignment="1" applyProtection="1">
      <alignment horizontal="right" vertical="center" wrapText="1"/>
      <protection locked="0"/>
    </xf>
    <xf numFmtId="0" fontId="0" fillId="0" borderId="0" xfId="61" applyBorder="1" applyAlignment="1">
      <alignment vertical="center"/>
      <protection/>
    </xf>
    <xf numFmtId="43" fontId="4" fillId="0" borderId="0" xfId="52" applyFont="1" applyFill="1" applyBorder="1" applyAlignment="1" applyProtection="1">
      <alignment/>
      <protection locked="0"/>
    </xf>
    <xf numFmtId="0" fontId="1" fillId="0" borderId="0" xfId="61" applyFont="1" applyFill="1" applyBorder="1" applyAlignment="1" applyProtection="1">
      <alignment/>
      <protection locked="0"/>
    </xf>
    <xf numFmtId="43" fontId="1" fillId="0" borderId="0" xfId="52" applyFont="1" applyFill="1" applyBorder="1" applyAlignment="1" applyProtection="1">
      <alignment/>
      <protection locked="0"/>
    </xf>
    <xf numFmtId="0" fontId="7" fillId="0" borderId="0" xfId="61" applyFont="1" applyFill="1" applyBorder="1" applyAlignment="1" applyProtection="1">
      <alignment/>
      <protection locked="0"/>
    </xf>
    <xf numFmtId="43" fontId="7" fillId="0" borderId="0" xfId="52" applyFont="1" applyFill="1" applyBorder="1" applyAlignment="1" applyProtection="1">
      <alignment/>
      <protection/>
    </xf>
    <xf numFmtId="0" fontId="1" fillId="0" borderId="11" xfId="61" applyFont="1" applyFill="1" applyBorder="1" applyAlignment="1" applyProtection="1">
      <alignment wrapText="1"/>
      <protection locked="0"/>
    </xf>
    <xf numFmtId="0" fontId="1" fillId="0" borderId="0" xfId="61" applyFont="1" applyFill="1" applyBorder="1" applyAlignment="1" applyProtection="1">
      <alignment horizontal="center"/>
      <protection locked="0"/>
    </xf>
    <xf numFmtId="43" fontId="20" fillId="0" borderId="0" xfId="52" applyFont="1" applyFill="1" applyBorder="1" applyAlignment="1" applyProtection="1">
      <alignment/>
      <protection locked="0"/>
    </xf>
    <xf numFmtId="43" fontId="7" fillId="0" borderId="0" xfId="61" applyNumberFormat="1" applyFont="1" applyFill="1" applyBorder="1" applyAlignment="1" applyProtection="1">
      <alignment/>
      <protection/>
    </xf>
    <xf numFmtId="0" fontId="29" fillId="0" borderId="0" xfId="61" applyFont="1" applyFill="1" applyBorder="1" applyAlignment="1" applyProtection="1">
      <alignment horizontal="center"/>
      <protection locked="0"/>
    </xf>
    <xf numFmtId="43" fontId="29" fillId="0" borderId="0" xfId="52" applyNumberFormat="1" applyFont="1" applyFill="1" applyBorder="1" applyAlignment="1" applyProtection="1">
      <alignment horizontal="center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33" fillId="0" borderId="0" xfId="61" applyFont="1" applyFill="1" applyBorder="1" applyAlignment="1" applyProtection="1">
      <alignment horizontal="center"/>
      <protection locked="0"/>
    </xf>
    <xf numFmtId="173" fontId="7" fillId="0" borderId="10" xfId="0" applyNumberFormat="1" applyFont="1" applyFill="1" applyBorder="1" applyAlignment="1" applyProtection="1">
      <alignment horizontal="center" vertical="top"/>
      <protection/>
    </xf>
    <xf numFmtId="15" fontId="1" fillId="0" borderId="10" xfId="61" applyNumberFormat="1" applyFont="1" applyFill="1" applyBorder="1" applyAlignment="1" applyProtection="1" quotePrefix="1">
      <alignment horizontal="center" vertical="top"/>
      <protection locked="0"/>
    </xf>
    <xf numFmtId="0" fontId="108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61" applyFont="1" applyFill="1" applyAlignment="1" applyProtection="1">
      <alignment horizontal="center"/>
      <protection locked="0"/>
    </xf>
    <xf numFmtId="0" fontId="27" fillId="0" borderId="0" xfId="61" applyFont="1" applyFill="1" applyBorder="1" applyAlignment="1" applyProtection="1">
      <alignment horizontal="center" vertical="center"/>
      <protection locked="0"/>
    </xf>
    <xf numFmtId="0" fontId="27" fillId="0" borderId="12" xfId="61" applyFont="1" applyFill="1" applyBorder="1" applyAlignment="1" applyProtection="1">
      <alignment horizontal="center" vertical="center"/>
      <protection locked="0"/>
    </xf>
    <xf numFmtId="0" fontId="1" fillId="0" borderId="14" xfId="61" applyFont="1" applyFill="1" applyBorder="1" applyAlignment="1" applyProtection="1">
      <alignment horizontal="center" wrapText="1"/>
      <protection locked="0"/>
    </xf>
    <xf numFmtId="0" fontId="1" fillId="0" borderId="0" xfId="61" applyFont="1" applyFill="1" applyAlignment="1" applyProtection="1">
      <alignment horizontal="center"/>
      <protection locked="0"/>
    </xf>
    <xf numFmtId="43" fontId="1" fillId="0" borderId="0" xfId="52" applyFont="1" applyFill="1" applyBorder="1" applyAlignment="1" applyProtection="1">
      <alignment horizontal="center" vertical="top"/>
      <protection locked="0"/>
    </xf>
    <xf numFmtId="0" fontId="5" fillId="0" borderId="0" xfId="61" applyFont="1" applyFill="1" applyBorder="1" applyAlignment="1" applyProtection="1">
      <alignment horizontal="center" vertical="top"/>
      <protection locked="0"/>
    </xf>
    <xf numFmtId="0" fontId="1" fillId="0" borderId="12" xfId="61" applyFont="1" applyFill="1" applyBorder="1" applyAlignment="1" applyProtection="1">
      <alignment horizontal="center" vertical="top"/>
      <protection locked="0"/>
    </xf>
    <xf numFmtId="2" fontId="1" fillId="0" borderId="10" xfId="61" applyNumberFormat="1" applyFont="1" applyFill="1" applyBorder="1" applyAlignment="1" applyProtection="1">
      <alignment horizontal="center" vertical="top" wrapText="1"/>
      <protection locked="0"/>
    </xf>
    <xf numFmtId="173" fontId="7" fillId="0" borderId="10" xfId="61" applyNumberFormat="1" applyFont="1" applyFill="1" applyBorder="1" applyAlignment="1" applyProtection="1">
      <alignment horizontal="center" vertical="top"/>
      <protection/>
    </xf>
    <xf numFmtId="0" fontId="20" fillId="0" borderId="0" xfId="61" applyFont="1" applyFill="1" applyBorder="1" applyAlignment="1" applyProtection="1">
      <alignment vertical="center" wrapText="1"/>
      <protection locked="0"/>
    </xf>
    <xf numFmtId="0" fontId="4" fillId="0" borderId="0" xfId="61" applyFont="1" applyBorder="1" applyAlignment="1">
      <alignment vertical="center"/>
      <protection/>
    </xf>
    <xf numFmtId="0" fontId="1" fillId="7" borderId="10" xfId="0" applyFont="1" applyFill="1" applyBorder="1" applyAlignment="1" applyProtection="1">
      <alignment horizontal="center" vertical="top" wrapText="1"/>
      <protection locked="0"/>
    </xf>
    <xf numFmtId="43" fontId="7" fillId="7" borderId="10" xfId="52" applyFont="1" applyFill="1" applyBorder="1" applyAlignment="1" applyProtection="1">
      <alignment vertical="top"/>
      <protection/>
    </xf>
    <xf numFmtId="15" fontId="1" fillId="7" borderId="10" xfId="61" applyNumberFormat="1" applyFont="1" applyFill="1" applyBorder="1" applyAlignment="1" applyProtection="1" quotePrefix="1">
      <alignment vertical="top"/>
      <protection locked="0"/>
    </xf>
    <xf numFmtId="0" fontId="1" fillId="7" borderId="10" xfId="61" applyFont="1" applyFill="1" applyBorder="1" applyAlignment="1" applyProtection="1">
      <alignment horizontal="center" vertical="top" wrapText="1"/>
      <protection locked="0"/>
    </xf>
    <xf numFmtId="0" fontId="1" fillId="7" borderId="10" xfId="61" applyFont="1" applyFill="1" applyBorder="1" applyAlignment="1" applyProtection="1">
      <alignment vertical="top" wrapText="1"/>
      <protection locked="0"/>
    </xf>
    <xf numFmtId="2" fontId="1" fillId="7" borderId="10" xfId="61" applyNumberFormat="1" applyFont="1" applyFill="1" applyBorder="1" applyAlignment="1" applyProtection="1">
      <alignment horizontal="center" vertical="top" wrapText="1"/>
      <protection locked="0"/>
    </xf>
    <xf numFmtId="43" fontId="7" fillId="7" borderId="10" xfId="61" applyNumberFormat="1" applyFont="1" applyFill="1" applyBorder="1" applyAlignment="1" applyProtection="1">
      <alignment vertical="top"/>
      <protection/>
    </xf>
    <xf numFmtId="173" fontId="7" fillId="7" borderId="10" xfId="61" applyNumberFormat="1" applyFont="1" applyFill="1" applyBorder="1" applyAlignment="1" applyProtection="1">
      <alignment horizontal="center" vertical="top"/>
      <protection/>
    </xf>
    <xf numFmtId="0" fontId="1" fillId="7" borderId="0" xfId="61" applyFont="1" applyFill="1" applyBorder="1" applyProtection="1">
      <alignment/>
      <protection locked="0"/>
    </xf>
    <xf numFmtId="0" fontId="1" fillId="7" borderId="0" xfId="61" applyFont="1" applyFill="1" applyProtection="1">
      <alignment/>
      <protection locked="0"/>
    </xf>
    <xf numFmtId="0" fontId="20" fillId="0" borderId="0" xfId="61" applyFont="1" applyFill="1" applyBorder="1" applyProtection="1">
      <alignment/>
      <protection locked="0"/>
    </xf>
    <xf numFmtId="0" fontId="24" fillId="0" borderId="0" xfId="61" applyFont="1" applyFill="1" applyBorder="1" applyAlignment="1">
      <alignment horizontal="left"/>
      <protection/>
    </xf>
    <xf numFmtId="0" fontId="109" fillId="0" borderId="0" xfId="6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110" fillId="0" borderId="0" xfId="61" applyFont="1" applyFill="1" applyAlignment="1" applyProtection="1">
      <alignment horizontal="left"/>
      <protection locked="0"/>
    </xf>
    <xf numFmtId="0" fontId="39" fillId="0" borderId="0" xfId="0" applyFont="1" applyFill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/>
      <protection locked="0"/>
    </xf>
    <xf numFmtId="0" fontId="111" fillId="0" borderId="0" xfId="61" applyFont="1" applyFill="1" applyAlignment="1" applyProtection="1">
      <alignment horizontal="left"/>
      <protection locked="0"/>
    </xf>
    <xf numFmtId="0" fontId="40" fillId="0" borderId="0" xfId="0" applyFont="1" applyFill="1" applyAlignment="1" applyProtection="1">
      <alignment/>
      <protection locked="0"/>
    </xf>
    <xf numFmtId="0" fontId="112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41" fillId="0" borderId="0" xfId="61" applyFont="1" applyFill="1" applyAlignment="1" applyProtection="1">
      <alignment horizontal="left"/>
      <protection locked="0"/>
    </xf>
    <xf numFmtId="0" fontId="39" fillId="0" borderId="0" xfId="61" applyFont="1" applyFill="1" applyAlignment="1" applyProtection="1">
      <alignment horizontal="left"/>
      <protection locked="0"/>
    </xf>
    <xf numFmtId="0" fontId="38" fillId="0" borderId="0" xfId="61" applyFont="1" applyFill="1" applyBorder="1" applyAlignment="1" applyProtection="1">
      <alignment horizontal="left" vertical="center"/>
      <protection locked="0"/>
    </xf>
    <xf numFmtId="0" fontId="113" fillId="34" borderId="10" xfId="61" applyFont="1" applyFill="1" applyBorder="1" applyAlignment="1" applyProtection="1">
      <alignment horizontal="center" vertical="center" wrapText="1"/>
      <protection/>
    </xf>
    <xf numFmtId="0" fontId="40" fillId="0" borderId="0" xfId="61" applyFont="1" applyFill="1" applyProtection="1">
      <alignment/>
      <protection locked="0"/>
    </xf>
    <xf numFmtId="0" fontId="37" fillId="0" borderId="0" xfId="61" applyFont="1" applyFill="1" applyProtection="1">
      <alignment/>
      <protection locked="0"/>
    </xf>
    <xf numFmtId="0" fontId="42" fillId="0" borderId="0" xfId="0" applyFont="1" applyFill="1" applyBorder="1" applyAlignment="1">
      <alignment/>
    </xf>
    <xf numFmtId="0" fontId="0" fillId="0" borderId="0" xfId="61" applyFont="1" applyFill="1" applyBorder="1" applyProtection="1">
      <alignment/>
      <protection locked="0"/>
    </xf>
    <xf numFmtId="43" fontId="0" fillId="0" borderId="0" xfId="61" applyNumberFormat="1" applyFont="1" applyFill="1" applyBorder="1" applyProtection="1">
      <alignment/>
      <protection locked="0"/>
    </xf>
    <xf numFmtId="43" fontId="12" fillId="0" borderId="0" xfId="52" applyFont="1" applyFill="1" applyBorder="1" applyAlignment="1" applyProtection="1">
      <alignment vertical="top" wrapText="1"/>
      <protection locked="0"/>
    </xf>
    <xf numFmtId="43" fontId="43" fillId="0" borderId="0" xfId="52" applyFont="1" applyFill="1" applyBorder="1" applyAlignment="1" applyProtection="1">
      <alignment vertical="top"/>
      <protection/>
    </xf>
    <xf numFmtId="43" fontId="12" fillId="0" borderId="0" xfId="52" applyFont="1" applyFill="1" applyBorder="1" applyAlignment="1" applyProtection="1">
      <alignment vertical="top"/>
      <protection locked="0"/>
    </xf>
    <xf numFmtId="0" fontId="0" fillId="0" borderId="0" xfId="61" applyFont="1" applyFill="1" applyBorder="1" applyAlignment="1" applyProtection="1">
      <alignment vertical="top" wrapText="1"/>
      <protection locked="0"/>
    </xf>
    <xf numFmtId="0" fontId="0" fillId="0" borderId="11" xfId="61" applyFont="1" applyFill="1" applyBorder="1" applyProtection="1">
      <alignment/>
      <protection locked="0"/>
    </xf>
    <xf numFmtId="0" fontId="1" fillId="0" borderId="11" xfId="61" applyFont="1" applyFill="1" applyBorder="1" applyProtection="1">
      <alignment/>
      <protection locked="0"/>
    </xf>
    <xf numFmtId="0" fontId="1" fillId="0" borderId="18" xfId="61" applyFont="1" applyFill="1" applyBorder="1" applyProtection="1">
      <alignment/>
      <protection locked="0"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2" fillId="34" borderId="10" xfId="0" applyFont="1" applyFill="1" applyBorder="1" applyAlignment="1" applyProtection="1">
      <alignment horizontal="center" vertical="center" wrapText="1"/>
      <protection/>
    </xf>
    <xf numFmtId="0" fontId="28" fillId="34" borderId="10" xfId="0" applyFont="1" applyFill="1" applyBorder="1" applyAlignment="1" applyProtection="1">
      <alignment horizontal="center" vertical="center" wrapText="1"/>
      <protection/>
    </xf>
    <xf numFmtId="0" fontId="20" fillId="0" borderId="12" xfId="61" applyFont="1" applyFill="1" applyBorder="1" applyProtection="1">
      <alignment/>
      <protection locked="0"/>
    </xf>
    <xf numFmtId="0" fontId="20" fillId="0" borderId="18" xfId="61" applyFont="1" applyFill="1" applyBorder="1" applyAlignment="1" applyProtection="1">
      <alignment vertical="top" wrapText="1"/>
      <protection locked="0"/>
    </xf>
    <xf numFmtId="0" fontId="38" fillId="0" borderId="12" xfId="61" applyFont="1" applyFill="1" applyBorder="1" applyAlignment="1" applyProtection="1">
      <alignment horizontal="left" vertical="center"/>
      <protection locked="0"/>
    </xf>
    <xf numFmtId="0" fontId="20" fillId="0" borderId="0" xfId="61" applyFont="1" applyFill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3" fontId="44" fillId="0" borderId="0" xfId="49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0" fontId="43" fillId="0" borderId="0" xfId="0" applyFont="1" applyFill="1" applyBorder="1" applyAlignment="1" applyProtection="1">
      <alignment vertical="top"/>
      <protection locked="0"/>
    </xf>
    <xf numFmtId="43" fontId="43" fillId="0" borderId="0" xfId="0" applyNumberFormat="1" applyFont="1" applyFill="1" applyBorder="1" applyAlignment="1" applyProtection="1">
      <alignment vertical="top"/>
      <protection/>
    </xf>
    <xf numFmtId="173" fontId="43" fillId="0" borderId="0" xfId="0" applyNumberFormat="1" applyFont="1" applyFill="1" applyBorder="1" applyAlignment="1" applyProtection="1">
      <alignment vertical="top"/>
      <protection/>
    </xf>
    <xf numFmtId="0" fontId="1" fillId="33" borderId="10" xfId="0" applyFont="1" applyFill="1" applyBorder="1" applyAlignment="1" applyProtection="1">
      <alignment horizontal="center" vertical="top" wrapText="1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 vertical="top" wrapText="1"/>
      <protection locked="0"/>
    </xf>
    <xf numFmtId="0" fontId="1" fillId="33" borderId="10" xfId="0" applyFont="1" applyFill="1" applyBorder="1" applyAlignment="1" applyProtection="1">
      <alignment horizontal="left" vertical="top" wrapText="1"/>
      <protection locked="0"/>
    </xf>
    <xf numFmtId="43" fontId="7" fillId="33" borderId="10" xfId="0" applyNumberFormat="1" applyFont="1" applyFill="1" applyBorder="1" applyAlignment="1" applyProtection="1">
      <alignment vertical="top"/>
      <protection/>
    </xf>
    <xf numFmtId="173" fontId="7" fillId="33" borderId="10" xfId="0" applyNumberFormat="1" applyFont="1" applyFill="1" applyBorder="1" applyAlignment="1" applyProtection="1">
      <alignment vertical="top"/>
      <protection/>
    </xf>
    <xf numFmtId="43" fontId="7" fillId="33" borderId="10" xfId="52" applyFont="1" applyFill="1" applyBorder="1" applyAlignment="1" applyProtection="1">
      <alignment vertical="top"/>
      <protection/>
    </xf>
    <xf numFmtId="43" fontId="1" fillId="0" borderId="10" xfId="52" applyFont="1" applyFill="1" applyBorder="1" applyAlignment="1" applyProtection="1">
      <alignment vertical="top"/>
      <protection/>
    </xf>
    <xf numFmtId="43" fontId="1" fillId="0" borderId="10" xfId="52" applyFont="1" applyFill="1" applyBorder="1" applyAlignment="1" applyProtection="1">
      <alignment vertical="top" wrapText="1"/>
      <protection/>
    </xf>
    <xf numFmtId="43" fontId="1" fillId="7" borderId="10" xfId="52" applyFont="1" applyFill="1" applyBorder="1" applyAlignment="1" applyProtection="1">
      <alignment vertical="top" wrapText="1"/>
      <protection/>
    </xf>
    <xf numFmtId="43" fontId="20" fillId="0" borderId="10" xfId="52" applyFont="1" applyFill="1" applyBorder="1" applyAlignment="1" applyProtection="1">
      <alignment wrapText="1"/>
      <protection/>
    </xf>
    <xf numFmtId="43" fontId="1" fillId="7" borderId="10" xfId="52" applyFont="1" applyFill="1" applyBorder="1" applyAlignment="1" applyProtection="1">
      <alignment vertical="top"/>
      <protection/>
    </xf>
    <xf numFmtId="43" fontId="1" fillId="0" borderId="10" xfId="53" applyFont="1" applyFill="1" applyBorder="1" applyAlignment="1" applyProtection="1">
      <alignment vertical="top"/>
      <protection/>
    </xf>
    <xf numFmtId="43" fontId="1" fillId="0" borderId="14" xfId="52" applyFont="1" applyFill="1" applyBorder="1" applyAlignment="1" applyProtection="1">
      <alignment wrapText="1"/>
      <protection locked="0"/>
    </xf>
    <xf numFmtId="43" fontId="1" fillId="0" borderId="14" xfId="52" applyFont="1" applyFill="1" applyBorder="1" applyAlignment="1" applyProtection="1">
      <alignment horizontal="center" wrapText="1"/>
      <protection locked="0"/>
    </xf>
    <xf numFmtId="43" fontId="20" fillId="0" borderId="14" xfId="52" applyFont="1" applyFill="1" applyBorder="1" applyAlignment="1" applyProtection="1">
      <alignment wrapText="1"/>
      <protection locked="0"/>
    </xf>
    <xf numFmtId="43" fontId="1" fillId="0" borderId="14" xfId="61" applyNumberFormat="1" applyFont="1" applyFill="1" applyBorder="1" applyAlignment="1" applyProtection="1">
      <alignment wrapText="1"/>
      <protection locked="0"/>
    </xf>
    <xf numFmtId="43" fontId="1" fillId="0" borderId="15" xfId="52" applyFont="1" applyFill="1" applyBorder="1" applyAlignment="1" applyProtection="1">
      <alignment wrapText="1"/>
      <protection locked="0"/>
    </xf>
    <xf numFmtId="15" fontId="1" fillId="33" borderId="10" xfId="61" applyNumberFormat="1" applyFont="1" applyFill="1" applyBorder="1" applyAlignment="1" applyProtection="1" quotePrefix="1">
      <alignment vertical="top"/>
      <protection locked="0"/>
    </xf>
    <xf numFmtId="0" fontId="1" fillId="33" borderId="10" xfId="61" applyFont="1" applyFill="1" applyBorder="1" applyAlignment="1" applyProtection="1">
      <alignment horizontal="center" vertical="top" wrapText="1"/>
      <protection locked="0"/>
    </xf>
    <xf numFmtId="0" fontId="1" fillId="33" borderId="10" xfId="61" applyFont="1" applyFill="1" applyBorder="1" applyAlignment="1" applyProtection="1">
      <alignment vertical="top" wrapText="1"/>
      <protection locked="0"/>
    </xf>
    <xf numFmtId="43" fontId="1" fillId="33" borderId="10" xfId="52" applyFont="1" applyFill="1" applyBorder="1" applyAlignment="1" applyProtection="1">
      <alignment vertical="top" wrapText="1"/>
      <protection/>
    </xf>
    <xf numFmtId="2" fontId="1" fillId="33" borderId="10" xfId="61" applyNumberFormat="1" applyFont="1" applyFill="1" applyBorder="1" applyAlignment="1" applyProtection="1">
      <alignment horizontal="center" vertical="top" wrapText="1"/>
      <protection locked="0"/>
    </xf>
    <xf numFmtId="43" fontId="1" fillId="33" borderId="10" xfId="52" applyFont="1" applyFill="1" applyBorder="1" applyAlignment="1" applyProtection="1">
      <alignment vertical="top"/>
      <protection/>
    </xf>
    <xf numFmtId="43" fontId="7" fillId="33" borderId="10" xfId="61" applyNumberFormat="1" applyFont="1" applyFill="1" applyBorder="1" applyAlignment="1" applyProtection="1">
      <alignment vertical="top"/>
      <protection/>
    </xf>
    <xf numFmtId="173" fontId="7" fillId="33" borderId="10" xfId="61" applyNumberFormat="1" applyFont="1" applyFill="1" applyBorder="1" applyAlignment="1" applyProtection="1">
      <alignment horizontal="center" vertical="top"/>
      <protection/>
    </xf>
    <xf numFmtId="49" fontId="1" fillId="33" borderId="10" xfId="61" applyNumberFormat="1" applyFont="1" applyFill="1" applyBorder="1" applyAlignment="1" applyProtection="1">
      <alignment horizontal="center" vertical="top" wrapText="1"/>
      <protection locked="0"/>
    </xf>
    <xf numFmtId="15" fontId="1" fillId="33" borderId="10" xfId="61" applyNumberFormat="1" applyFont="1" applyFill="1" applyBorder="1" applyAlignment="1" applyProtection="1" quotePrefix="1">
      <alignment horizontal="center" vertical="top"/>
      <protection locked="0"/>
    </xf>
    <xf numFmtId="0" fontId="1" fillId="33" borderId="10" xfId="61" applyFont="1" applyFill="1" applyBorder="1" applyAlignment="1" applyProtection="1">
      <alignment horizontal="left" vertical="top" wrapText="1"/>
      <protection locked="0"/>
    </xf>
    <xf numFmtId="43" fontId="7" fillId="33" borderId="10" xfId="53" applyFont="1" applyFill="1" applyBorder="1" applyAlignment="1" applyProtection="1">
      <alignment horizontal="center" vertical="top" wrapText="1"/>
      <protection/>
    </xf>
    <xf numFmtId="43" fontId="7" fillId="33" borderId="10" xfId="52" applyFont="1" applyFill="1" applyBorder="1" applyAlignment="1" applyProtection="1">
      <alignment horizontal="center" vertical="top" wrapText="1"/>
      <protection/>
    </xf>
    <xf numFmtId="43" fontId="1" fillId="33" borderId="10" xfId="52" applyFont="1" applyFill="1" applyBorder="1" applyAlignment="1" applyProtection="1">
      <alignment vertical="top"/>
      <protection locked="0"/>
    </xf>
    <xf numFmtId="173" fontId="7" fillId="33" borderId="10" xfId="61" applyNumberFormat="1" applyFont="1" applyFill="1" applyBorder="1" applyAlignment="1" applyProtection="1">
      <alignment vertical="top"/>
      <protection/>
    </xf>
    <xf numFmtId="15" fontId="1" fillId="33" borderId="10" xfId="0" applyNumberFormat="1" applyFont="1" applyFill="1" applyBorder="1" applyAlignment="1" applyProtection="1" quotePrefix="1">
      <alignment horizontal="center" vertical="top"/>
      <protection locked="0"/>
    </xf>
    <xf numFmtId="43" fontId="7" fillId="33" borderId="10" xfId="57" applyFont="1" applyFill="1" applyBorder="1" applyAlignment="1" applyProtection="1">
      <alignment horizontal="center" vertical="top" wrapText="1"/>
      <protection/>
    </xf>
    <xf numFmtId="2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43" fontId="1" fillId="33" borderId="10" xfId="57" applyFont="1" applyFill="1" applyBorder="1" applyAlignment="1" applyProtection="1">
      <alignment vertical="top"/>
      <protection locked="0"/>
    </xf>
    <xf numFmtId="173" fontId="7" fillId="33" borderId="10" xfId="0" applyNumberFormat="1" applyFont="1" applyFill="1" applyBorder="1" applyAlignment="1" applyProtection="1">
      <alignment horizontal="center" vertical="top"/>
      <protection/>
    </xf>
    <xf numFmtId="43" fontId="7" fillId="33" borderId="10" xfId="57" applyFont="1" applyFill="1" applyBorder="1" applyAlignment="1" applyProtection="1">
      <alignment vertical="top"/>
      <protection/>
    </xf>
    <xf numFmtId="0" fontId="1" fillId="33" borderId="0" xfId="0" applyFont="1" applyFill="1" applyBorder="1" applyAlignment="1" applyProtection="1">
      <alignment/>
      <protection locked="0"/>
    </xf>
    <xf numFmtId="0" fontId="42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0" fillId="0" borderId="0" xfId="61" applyFont="1" applyFill="1" applyBorder="1" applyAlignment="1" applyProtection="1">
      <alignment horizontal="center" vertical="top"/>
      <protection locked="0"/>
    </xf>
    <xf numFmtId="185" fontId="1" fillId="0" borderId="14" xfId="61" applyNumberFormat="1" applyFont="1" applyFill="1" applyBorder="1" applyAlignment="1" applyProtection="1">
      <alignment wrapText="1"/>
      <protection locked="0"/>
    </xf>
    <xf numFmtId="0" fontId="0" fillId="0" borderId="0" xfId="61" applyFont="1" applyFill="1" applyBorder="1" applyAlignment="1">
      <alignment horizontal="left"/>
      <protection/>
    </xf>
    <xf numFmtId="0" fontId="42" fillId="0" borderId="0" xfId="61" applyFont="1" applyFill="1" applyBorder="1" applyAlignment="1">
      <alignment horizontal="center"/>
      <protection/>
    </xf>
    <xf numFmtId="0" fontId="42" fillId="0" borderId="0" xfId="61" applyFont="1" applyFill="1" applyBorder="1" applyAlignment="1">
      <alignment horizontal="left"/>
      <protection/>
    </xf>
    <xf numFmtId="0" fontId="1" fillId="0" borderId="0" xfId="61" applyFont="1" applyFill="1" applyBorder="1" applyAlignment="1" applyProtection="1">
      <alignment wrapText="1"/>
      <protection locked="0"/>
    </xf>
    <xf numFmtId="0" fontId="36" fillId="0" borderId="10" xfId="0" applyFont="1" applyFill="1" applyBorder="1" applyAlignment="1" applyProtection="1">
      <alignment horizontal="left" vertical="top" wrapText="1"/>
      <protection locked="0"/>
    </xf>
    <xf numFmtId="0" fontId="36" fillId="0" borderId="10" xfId="0" applyFont="1" applyFill="1" applyBorder="1" applyAlignment="1" applyProtection="1">
      <alignment vertical="top" wrapText="1"/>
      <protection locked="0"/>
    </xf>
    <xf numFmtId="0" fontId="36" fillId="0" borderId="10" xfId="0" applyFont="1" applyFill="1" applyBorder="1" applyAlignment="1" applyProtection="1">
      <alignment horizontal="center" vertical="top" wrapText="1"/>
      <protection locked="0"/>
    </xf>
    <xf numFmtId="2" fontId="36" fillId="0" borderId="10" xfId="0" applyNumberFormat="1" applyFont="1" applyFill="1" applyBorder="1" applyAlignment="1" applyProtection="1">
      <alignment vertical="top" wrapText="1"/>
      <protection locked="0"/>
    </xf>
    <xf numFmtId="43" fontId="49" fillId="0" borderId="10" xfId="0" applyNumberFormat="1" applyFont="1" applyFill="1" applyBorder="1" applyAlignment="1" applyProtection="1">
      <alignment vertical="top"/>
      <protection/>
    </xf>
    <xf numFmtId="173" fontId="49" fillId="0" borderId="10" xfId="0" applyNumberFormat="1" applyFont="1" applyFill="1" applyBorder="1" applyAlignment="1" applyProtection="1">
      <alignment vertical="top"/>
      <protection/>
    </xf>
    <xf numFmtId="0" fontId="36" fillId="0" borderId="10" xfId="62" applyFont="1" applyFill="1" applyBorder="1" applyAlignment="1" applyProtection="1">
      <alignment vertical="top" wrapText="1"/>
      <protection locked="0"/>
    </xf>
    <xf numFmtId="2" fontId="36" fillId="0" borderId="10" xfId="62" applyNumberFormat="1" applyFont="1" applyFill="1" applyBorder="1" applyAlignment="1" applyProtection="1">
      <alignment vertical="top" wrapText="1"/>
      <protection locked="0"/>
    </xf>
    <xf numFmtId="43" fontId="49" fillId="0" borderId="10" xfId="49" applyFont="1" applyFill="1" applyBorder="1" applyAlignment="1" applyProtection="1">
      <alignment horizontal="center" vertical="top" wrapText="1"/>
      <protection/>
    </xf>
    <xf numFmtId="43" fontId="49" fillId="0" borderId="10" xfId="52" applyFont="1" applyFill="1" applyBorder="1" applyAlignment="1" applyProtection="1">
      <alignment vertical="top"/>
      <protection/>
    </xf>
    <xf numFmtId="43" fontId="49" fillId="0" borderId="10" xfId="51" applyFont="1" applyFill="1" applyBorder="1" applyAlignment="1" applyProtection="1">
      <alignment horizontal="center" vertical="top" wrapText="1"/>
      <protection/>
    </xf>
    <xf numFmtId="43" fontId="49" fillId="0" borderId="10" xfId="54" applyFont="1" applyFill="1" applyBorder="1" applyAlignment="1" applyProtection="1">
      <alignment horizontal="center" vertical="top" wrapText="1"/>
      <protection/>
    </xf>
    <xf numFmtId="0" fontId="36" fillId="33" borderId="10" xfId="0" applyFont="1" applyFill="1" applyBorder="1" applyAlignment="1" applyProtection="1">
      <alignment horizontal="center" vertical="top" wrapText="1"/>
      <protection locked="0"/>
    </xf>
    <xf numFmtId="0" fontId="36" fillId="0" borderId="10" xfId="61" applyFont="1" applyFill="1" applyBorder="1" applyAlignment="1" applyProtection="1">
      <alignment horizontal="left" vertical="top" wrapText="1"/>
      <protection locked="0"/>
    </xf>
    <xf numFmtId="43" fontId="49" fillId="0" borderId="10" xfId="52" applyFont="1" applyFill="1" applyBorder="1" applyAlignment="1" applyProtection="1">
      <alignment horizontal="center" vertical="top" wrapText="1"/>
      <protection/>
    </xf>
    <xf numFmtId="43" fontId="36" fillId="0" borderId="10" xfId="52" applyFont="1" applyFill="1" applyBorder="1" applyAlignment="1" applyProtection="1">
      <alignment vertical="top"/>
      <protection/>
    </xf>
    <xf numFmtId="15" fontId="36" fillId="0" borderId="10" xfId="0" applyNumberFormat="1" applyFont="1" applyFill="1" applyBorder="1" applyAlignment="1" applyProtection="1" quotePrefix="1">
      <alignment horizontal="center" vertical="top"/>
      <protection locked="0"/>
    </xf>
    <xf numFmtId="43" fontId="1" fillId="0" borderId="10" xfId="49" applyFont="1" applyFill="1" applyBorder="1" applyAlignment="1" applyProtection="1">
      <alignment vertical="top" wrapText="1"/>
      <protection locked="0"/>
    </xf>
    <xf numFmtId="43" fontId="1" fillId="0" borderId="10" xfId="49" applyFont="1" applyFill="1" applyBorder="1" applyAlignment="1" applyProtection="1">
      <alignment vertical="top"/>
      <protection/>
    </xf>
    <xf numFmtId="43" fontId="7" fillId="0" borderId="10" xfId="49" applyFont="1" applyFill="1" applyBorder="1" applyAlignment="1" applyProtection="1">
      <alignment vertical="top"/>
      <protection/>
    </xf>
    <xf numFmtId="15" fontId="1" fillId="0" borderId="10" xfId="62" applyNumberFormat="1" applyFont="1" applyFill="1" applyBorder="1" applyAlignment="1" applyProtection="1" quotePrefix="1">
      <alignment vertical="top"/>
      <protection locked="0"/>
    </xf>
    <xf numFmtId="0" fontId="1" fillId="0" borderId="10" xfId="62" applyFont="1" applyFill="1" applyBorder="1" applyAlignment="1" applyProtection="1">
      <alignment horizontal="left" vertical="top" wrapText="1"/>
      <protection locked="0"/>
    </xf>
    <xf numFmtId="0" fontId="1" fillId="0" borderId="10" xfId="62" applyFont="1" applyFill="1" applyBorder="1" applyAlignment="1" applyProtection="1">
      <alignment horizontal="center" vertical="top" wrapText="1"/>
      <protection locked="0"/>
    </xf>
    <xf numFmtId="4" fontId="1" fillId="0" borderId="10" xfId="0" applyNumberFormat="1" applyFont="1" applyFill="1" applyBorder="1" applyAlignment="1" applyProtection="1">
      <alignment horizontal="center" vertical="top" wrapText="1"/>
      <protection locked="0"/>
    </xf>
    <xf numFmtId="43" fontId="7" fillId="0" borderId="10" xfId="49" applyFont="1" applyFill="1" applyBorder="1" applyAlignment="1" applyProtection="1">
      <alignment horizontal="center" vertical="top" wrapText="1"/>
      <protection/>
    </xf>
    <xf numFmtId="0" fontId="1" fillId="0" borderId="10" xfId="62" applyFont="1" applyFill="1" applyBorder="1" applyAlignment="1" applyProtection="1">
      <alignment vertical="top" wrapText="1"/>
      <protection locked="0"/>
    </xf>
    <xf numFmtId="49" fontId="1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Fill="1" applyBorder="1" applyAlignment="1" applyProtection="1">
      <alignment horizontal="justify" vertical="top" wrapText="1"/>
      <protection locked="0"/>
    </xf>
    <xf numFmtId="43" fontId="7" fillId="0" borderId="10" xfId="54" applyFont="1" applyFill="1" applyBorder="1" applyAlignment="1" applyProtection="1">
      <alignment horizontal="center" vertical="top" wrapText="1"/>
      <protection/>
    </xf>
    <xf numFmtId="43" fontId="1" fillId="0" borderId="10" xfId="54" applyFont="1" applyFill="1" applyBorder="1" applyAlignment="1" applyProtection="1">
      <alignment vertical="top" wrapText="1"/>
      <protection locked="0"/>
    </xf>
    <xf numFmtId="15" fontId="1" fillId="33" borderId="10" xfId="0" applyNumberFormat="1" applyFont="1" applyFill="1" applyBorder="1" applyAlignment="1" applyProtection="1" quotePrefix="1">
      <alignment vertical="top"/>
      <protection locked="0"/>
    </xf>
    <xf numFmtId="15" fontId="1" fillId="0" borderId="10" xfId="62" applyNumberFormat="1" applyFont="1" applyFill="1" applyBorder="1" applyAlignment="1" applyProtection="1" quotePrefix="1">
      <alignment horizontal="center" vertical="top"/>
      <protection locked="0"/>
    </xf>
    <xf numFmtId="15" fontId="1" fillId="0" borderId="19" xfId="0" applyNumberFormat="1" applyFont="1" applyFill="1" applyBorder="1" applyAlignment="1" applyProtection="1" quotePrefix="1">
      <alignment vertical="top"/>
      <protection locked="0"/>
    </xf>
    <xf numFmtId="0" fontId="1" fillId="0" borderId="19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43" fontId="7" fillId="0" borderId="19" xfId="49" applyFont="1" applyFill="1" applyBorder="1" applyAlignment="1" applyProtection="1">
      <alignment horizontal="center" vertical="top" wrapText="1"/>
      <protection/>
    </xf>
    <xf numFmtId="43" fontId="7" fillId="0" borderId="19" xfId="52" applyFont="1" applyFill="1" applyBorder="1" applyAlignment="1" applyProtection="1">
      <alignment vertical="top"/>
      <protection/>
    </xf>
    <xf numFmtId="15" fontId="1" fillId="0" borderId="10" xfId="0" applyNumberFormat="1" applyFont="1" applyFill="1" applyBorder="1" applyAlignment="1" applyProtection="1" quotePrefix="1">
      <alignment vertical="top" wrapText="1"/>
      <protection locked="0"/>
    </xf>
    <xf numFmtId="0" fontId="36" fillId="33" borderId="10" xfId="0" applyFont="1" applyFill="1" applyBorder="1" applyAlignment="1" applyProtection="1">
      <alignment vertical="top" wrapText="1"/>
      <protection locked="0"/>
    </xf>
    <xf numFmtId="43" fontId="1" fillId="33" borderId="10" xfId="49" applyFont="1" applyFill="1" applyBorder="1" applyAlignment="1" applyProtection="1">
      <alignment vertical="top" wrapText="1"/>
      <protection locked="0"/>
    </xf>
    <xf numFmtId="43" fontId="7" fillId="33" borderId="10" xfId="49" applyFont="1" applyFill="1" applyBorder="1" applyAlignment="1" applyProtection="1">
      <alignment vertical="top"/>
      <protection/>
    </xf>
    <xf numFmtId="0" fontId="0" fillId="33" borderId="0" xfId="0" applyFill="1" applyAlignment="1">
      <alignment/>
    </xf>
    <xf numFmtId="43" fontId="114" fillId="0" borderId="0" xfId="0" applyNumberFormat="1" applyFont="1" applyAlignment="1">
      <alignment/>
    </xf>
    <xf numFmtId="173" fontId="114" fillId="0" borderId="0" xfId="0" applyNumberFormat="1" applyFont="1" applyAlignment="1">
      <alignment/>
    </xf>
    <xf numFmtId="0" fontId="11" fillId="14" borderId="20" xfId="61" applyFont="1" applyFill="1" applyBorder="1" applyAlignment="1" applyProtection="1">
      <alignment horizontal="center"/>
      <protection locked="0"/>
    </xf>
    <xf numFmtId="0" fontId="10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0" fillId="35" borderId="21" xfId="61" applyFont="1" applyFill="1" applyBorder="1" applyAlignment="1" applyProtection="1">
      <alignment horizontal="center" vertical="top"/>
      <protection locked="0"/>
    </xf>
    <xf numFmtId="0" fontId="11" fillId="35" borderId="19" xfId="61" applyFont="1" applyFill="1" applyBorder="1" applyAlignment="1" applyProtection="1">
      <alignment horizontal="center" vertical="top" wrapText="1"/>
      <protection locked="0"/>
    </xf>
    <xf numFmtId="0" fontId="11" fillId="35" borderId="22" xfId="61" applyFont="1" applyFill="1" applyBorder="1" applyAlignment="1" applyProtection="1">
      <alignment horizontal="center" vertical="top" wrapText="1"/>
      <protection locked="0"/>
    </xf>
    <xf numFmtId="0" fontId="33" fillId="35" borderId="23" xfId="61" applyFont="1" applyFill="1" applyBorder="1" applyAlignment="1" applyProtection="1">
      <alignment horizontal="center"/>
      <protection locked="0"/>
    </xf>
    <xf numFmtId="43" fontId="33" fillId="35" borderId="24" xfId="53" applyNumberFormat="1" applyFont="1" applyFill="1" applyBorder="1" applyAlignment="1" applyProtection="1">
      <alignment horizontal="center"/>
      <protection/>
    </xf>
    <xf numFmtId="43" fontId="33" fillId="35" borderId="25" xfId="53" applyNumberFormat="1" applyFont="1" applyFill="1" applyBorder="1" applyAlignment="1" applyProtection="1">
      <alignment horizontal="center"/>
      <protection/>
    </xf>
    <xf numFmtId="0" fontId="4" fillId="13" borderId="26" xfId="61" applyFont="1" applyFill="1" applyBorder="1" applyAlignment="1" applyProtection="1">
      <alignment horizontal="center" vertical="top"/>
      <protection locked="0"/>
    </xf>
    <xf numFmtId="0" fontId="4" fillId="13" borderId="27" xfId="61" applyFont="1" applyFill="1" applyBorder="1" applyAlignment="1" applyProtection="1">
      <alignment horizontal="center" vertical="top"/>
      <protection locked="0"/>
    </xf>
    <xf numFmtId="0" fontId="20" fillId="14" borderId="23" xfId="61" applyFont="1" applyFill="1" applyBorder="1" applyAlignment="1" applyProtection="1">
      <alignment horizontal="center" vertical="top"/>
      <protection locked="0"/>
    </xf>
    <xf numFmtId="0" fontId="11" fillId="14" borderId="28" xfId="61" applyFont="1" applyFill="1" applyBorder="1" applyAlignment="1" applyProtection="1">
      <alignment horizontal="center" vertical="top" wrapText="1"/>
      <protection locked="0"/>
    </xf>
    <xf numFmtId="0" fontId="11" fillId="14" borderId="29" xfId="61" applyFont="1" applyFill="1" applyBorder="1" applyAlignment="1" applyProtection="1">
      <alignment horizontal="center" vertical="top" wrapText="1"/>
      <protection locked="0"/>
    </xf>
    <xf numFmtId="43" fontId="53" fillId="13" borderId="10" xfId="53" applyFont="1" applyFill="1" applyBorder="1" applyAlignment="1" applyProtection="1">
      <alignment horizontal="center" vertical="top"/>
      <protection/>
    </xf>
    <xf numFmtId="43" fontId="53" fillId="13" borderId="30" xfId="53" applyFont="1" applyFill="1" applyBorder="1" applyAlignment="1" applyProtection="1">
      <alignment horizontal="center" vertical="top"/>
      <protection/>
    </xf>
    <xf numFmtId="43" fontId="53" fillId="13" borderId="31" xfId="53" applyFont="1" applyFill="1" applyBorder="1" applyAlignment="1" applyProtection="1">
      <alignment horizontal="center" vertical="top"/>
      <protection/>
    </xf>
    <xf numFmtId="43" fontId="53" fillId="13" borderId="32" xfId="53" applyFont="1" applyFill="1" applyBorder="1" applyAlignment="1" applyProtection="1">
      <alignment horizontal="center" vertical="top"/>
      <protection/>
    </xf>
    <xf numFmtId="43" fontId="53" fillId="13" borderId="10" xfId="53" applyFont="1" applyFill="1" applyBorder="1" applyAlignment="1" applyProtection="1">
      <alignment horizontal="left" vertical="top" indent="7"/>
      <protection/>
    </xf>
    <xf numFmtId="43" fontId="53" fillId="13" borderId="30" xfId="53" applyFont="1" applyFill="1" applyBorder="1" applyAlignment="1" applyProtection="1">
      <alignment horizontal="left" vertical="top" indent="8"/>
      <protection/>
    </xf>
    <xf numFmtId="0" fontId="11" fillId="13" borderId="33" xfId="61" applyFont="1" applyFill="1" applyBorder="1" applyAlignment="1" applyProtection="1">
      <alignment horizontal="center" vertical="top"/>
      <protection locked="0"/>
    </xf>
    <xf numFmtId="43" fontId="11" fillId="13" borderId="19" xfId="52" applyFont="1" applyFill="1" applyBorder="1" applyAlignment="1" applyProtection="1">
      <alignment horizontal="center" vertical="top"/>
      <protection/>
    </xf>
    <xf numFmtId="43" fontId="11" fillId="13" borderId="10" xfId="52" applyFont="1" applyFill="1" applyBorder="1" applyAlignment="1" applyProtection="1">
      <alignment horizontal="center" vertical="top"/>
      <protection/>
    </xf>
    <xf numFmtId="43" fontId="11" fillId="13" borderId="10" xfId="52" applyFont="1" applyFill="1" applyBorder="1" applyAlignment="1" applyProtection="1">
      <alignment horizontal="left"/>
      <protection/>
    </xf>
    <xf numFmtId="43" fontId="11" fillId="13" borderId="31" xfId="52" applyFont="1" applyFill="1" applyBorder="1" applyAlignment="1" applyProtection="1">
      <alignment horizontal="left"/>
      <protection/>
    </xf>
    <xf numFmtId="43" fontId="11" fillId="13" borderId="31" xfId="52" applyFont="1" applyFill="1" applyBorder="1" applyAlignment="1" applyProtection="1">
      <alignment horizontal="center" vertical="top"/>
      <protection/>
    </xf>
    <xf numFmtId="43" fontId="11" fillId="13" borderId="28" xfId="52" applyFont="1" applyFill="1" applyBorder="1" applyAlignment="1" applyProtection="1">
      <alignment horizontal="left" indent="6"/>
      <protection/>
    </xf>
    <xf numFmtId="43" fontId="11" fillId="13" borderId="28" xfId="52" applyFont="1" applyFill="1" applyBorder="1" applyAlignment="1" applyProtection="1">
      <alignment horizontal="left" vertical="top" indent="8"/>
      <protection/>
    </xf>
    <xf numFmtId="0" fontId="33" fillId="14" borderId="20" xfId="61" applyFont="1" applyFill="1" applyBorder="1" applyAlignment="1" applyProtection="1">
      <alignment horizontal="center"/>
      <protection locked="0"/>
    </xf>
    <xf numFmtId="43" fontId="33" fillId="14" borderId="34" xfId="52" applyNumberFormat="1" applyFont="1" applyFill="1" applyBorder="1" applyAlignment="1" applyProtection="1">
      <alignment horizontal="center"/>
      <protection/>
    </xf>
    <xf numFmtId="43" fontId="33" fillId="14" borderId="35" xfId="52" applyNumberFormat="1" applyFont="1" applyFill="1" applyBorder="1" applyAlignment="1" applyProtection="1">
      <alignment horizontal="center"/>
      <protection/>
    </xf>
    <xf numFmtId="0" fontId="4" fillId="14" borderId="23" xfId="0" applyFont="1" applyFill="1" applyBorder="1" applyAlignment="1" applyProtection="1">
      <alignment horizontal="center" vertical="top"/>
      <protection locked="0"/>
    </xf>
    <xf numFmtId="0" fontId="11" fillId="14" borderId="28" xfId="0" applyFont="1" applyFill="1" applyBorder="1" applyAlignment="1" applyProtection="1">
      <alignment horizontal="center" vertical="top" wrapText="1"/>
      <protection locked="0"/>
    </xf>
    <xf numFmtId="0" fontId="11" fillId="14" borderId="29" xfId="0" applyFont="1" applyFill="1" applyBorder="1" applyAlignment="1" applyProtection="1">
      <alignment horizontal="center" vertical="top" wrapText="1"/>
      <protection locked="0"/>
    </xf>
    <xf numFmtId="43" fontId="11" fillId="13" borderId="19" xfId="57" applyFont="1" applyFill="1" applyBorder="1" applyAlignment="1" applyProtection="1">
      <alignment horizontal="center" vertical="top"/>
      <protection/>
    </xf>
    <xf numFmtId="43" fontId="11" fillId="13" borderId="22" xfId="57" applyFont="1" applyFill="1" applyBorder="1" applyAlignment="1" applyProtection="1">
      <alignment horizontal="center" vertical="top"/>
      <protection/>
    </xf>
    <xf numFmtId="43" fontId="11" fillId="13" borderId="10" xfId="57" applyFont="1" applyFill="1" applyBorder="1" applyAlignment="1" applyProtection="1">
      <alignment horizontal="center" vertical="top"/>
      <protection/>
    </xf>
    <xf numFmtId="43" fontId="11" fillId="13" borderId="30" xfId="57" applyFont="1" applyFill="1" applyBorder="1" applyAlignment="1" applyProtection="1">
      <alignment horizontal="center" vertical="top"/>
      <protection/>
    </xf>
    <xf numFmtId="43" fontId="11" fillId="13" borderId="31" xfId="57" applyFont="1" applyFill="1" applyBorder="1" applyAlignment="1" applyProtection="1">
      <alignment horizontal="center" vertical="top"/>
      <protection/>
    </xf>
    <xf numFmtId="43" fontId="11" fillId="13" borderId="32" xfId="57" applyFont="1" applyFill="1" applyBorder="1" applyAlignment="1" applyProtection="1">
      <alignment horizontal="center" vertical="top"/>
      <protection/>
    </xf>
    <xf numFmtId="43" fontId="11" fillId="13" borderId="31" xfId="57" applyFont="1" applyFill="1" applyBorder="1" applyAlignment="1" applyProtection="1">
      <alignment horizontal="left"/>
      <protection/>
    </xf>
    <xf numFmtId="43" fontId="11" fillId="13" borderId="28" xfId="57" applyFont="1" applyFill="1" applyBorder="1" applyAlignment="1" applyProtection="1">
      <alignment horizontal="left" indent="7"/>
      <protection/>
    </xf>
    <xf numFmtId="43" fontId="11" fillId="13" borderId="29" xfId="57" applyFont="1" applyFill="1" applyBorder="1" applyAlignment="1" applyProtection="1">
      <alignment horizontal="left" vertical="top" indent="8"/>
      <protection/>
    </xf>
    <xf numFmtId="0" fontId="11" fillId="13" borderId="33" xfId="0" applyFont="1" applyFill="1" applyBorder="1" applyAlignment="1" applyProtection="1">
      <alignment horizontal="center" vertical="top"/>
      <protection locked="0"/>
    </xf>
    <xf numFmtId="0" fontId="11" fillId="13" borderId="36" xfId="0" applyFont="1" applyFill="1" applyBorder="1" applyAlignment="1" applyProtection="1">
      <alignment horizontal="center" vertical="top"/>
      <protection locked="0"/>
    </xf>
    <xf numFmtId="0" fontId="11" fillId="13" borderId="37" xfId="0" applyFont="1" applyFill="1" applyBorder="1" applyAlignment="1" applyProtection="1">
      <alignment horizontal="center" vertical="top"/>
      <protection locked="0"/>
    </xf>
    <xf numFmtId="0" fontId="11" fillId="13" borderId="38" xfId="0" applyFont="1" applyFill="1" applyBorder="1" applyAlignment="1" applyProtection="1">
      <alignment horizontal="center" vertical="top"/>
      <protection locked="0"/>
    </xf>
    <xf numFmtId="15" fontId="18" fillId="35" borderId="10" xfId="61" applyNumberFormat="1" applyFont="1" applyFill="1" applyBorder="1" applyAlignment="1" applyProtection="1">
      <alignment horizontal="center" vertical="center" wrapText="1"/>
      <protection/>
    </xf>
    <xf numFmtId="0" fontId="15" fillId="35" borderId="10" xfId="61" applyFont="1" applyFill="1" applyBorder="1" applyAlignment="1" applyProtection="1">
      <alignment horizontal="center" vertical="center" wrapText="1"/>
      <protection/>
    </xf>
    <xf numFmtId="0" fontId="18" fillId="35" borderId="10" xfId="61" applyFont="1" applyFill="1" applyBorder="1" applyAlignment="1" applyProtection="1">
      <alignment horizontal="center" vertical="center" wrapText="1"/>
      <protection/>
    </xf>
    <xf numFmtId="15" fontId="18" fillId="35" borderId="10" xfId="0" applyNumberFormat="1" applyFont="1" applyFill="1" applyBorder="1" applyAlignment="1" applyProtection="1">
      <alignment horizontal="center" vertical="center" wrapText="1"/>
      <protection/>
    </xf>
    <xf numFmtId="43" fontId="18" fillId="35" borderId="10" xfId="52" applyFont="1" applyFill="1" applyBorder="1" applyAlignment="1" applyProtection="1">
      <alignment horizontal="center" vertical="center" wrapText="1"/>
      <protection/>
    </xf>
    <xf numFmtId="43" fontId="6" fillId="35" borderId="10" xfId="52" applyFont="1" applyFill="1" applyBorder="1" applyAlignment="1" applyProtection="1">
      <alignment horizontal="center" vertical="center" wrapText="1"/>
      <protection/>
    </xf>
    <xf numFmtId="173" fontId="6" fillId="35" borderId="10" xfId="52" applyNumberFormat="1" applyFont="1" applyFill="1" applyBorder="1" applyAlignment="1" applyProtection="1">
      <alignment horizontal="center" vertical="center" wrapText="1"/>
      <protection/>
    </xf>
    <xf numFmtId="0" fontId="6" fillId="35" borderId="10" xfId="61" applyFont="1" applyFill="1" applyBorder="1" applyAlignment="1" applyProtection="1">
      <alignment horizontal="center" vertical="top" wrapText="1"/>
      <protection/>
    </xf>
    <xf numFmtId="0" fontId="6" fillId="35" borderId="10" xfId="61" applyFont="1" applyFill="1" applyBorder="1" applyAlignment="1" applyProtection="1">
      <alignment horizontal="center" vertical="center" wrapText="1"/>
      <protection/>
    </xf>
    <xf numFmtId="0" fontId="115" fillId="0" borderId="14" xfId="61" applyFont="1" applyFill="1" applyBorder="1" applyAlignment="1" applyProtection="1">
      <alignment horizontal="center"/>
      <protection locked="0"/>
    </xf>
    <xf numFmtId="43" fontId="116" fillId="0" borderId="39" xfId="52" applyFont="1" applyFill="1" applyBorder="1" applyAlignment="1" applyProtection="1">
      <alignment/>
      <protection/>
    </xf>
    <xf numFmtId="0" fontId="117" fillId="0" borderId="14" xfId="61" applyFont="1" applyFill="1" applyBorder="1" applyAlignment="1" applyProtection="1">
      <alignment/>
      <protection locked="0"/>
    </xf>
    <xf numFmtId="0" fontId="118" fillId="0" borderId="14" xfId="61" applyFont="1" applyFill="1" applyBorder="1" applyAlignment="1" applyProtection="1">
      <alignment/>
      <protection locked="0"/>
    </xf>
    <xf numFmtId="43" fontId="118" fillId="0" borderId="14" xfId="61" applyNumberFormat="1" applyFont="1" applyFill="1" applyBorder="1" applyAlignment="1" applyProtection="1">
      <alignment/>
      <protection/>
    </xf>
    <xf numFmtId="173" fontId="118" fillId="0" borderId="14" xfId="61" applyNumberFormat="1" applyFont="1" applyFill="1" applyBorder="1" applyAlignment="1" applyProtection="1">
      <alignment/>
      <protection/>
    </xf>
    <xf numFmtId="43" fontId="116" fillId="0" borderId="39" xfId="52" applyFont="1" applyFill="1" applyBorder="1" applyAlignment="1" applyProtection="1">
      <alignment/>
      <protection locked="0"/>
    </xf>
    <xf numFmtId="0" fontId="119" fillId="0" borderId="14" xfId="61" applyFont="1" applyFill="1" applyBorder="1" applyAlignment="1" applyProtection="1">
      <alignment horizontal="center"/>
      <protection locked="0"/>
    </xf>
    <xf numFmtId="0" fontId="116" fillId="0" borderId="14" xfId="61" applyFont="1" applyFill="1" applyBorder="1" applyAlignment="1" applyProtection="1">
      <alignment/>
      <protection locked="0"/>
    </xf>
    <xf numFmtId="0" fontId="120" fillId="0" borderId="14" xfId="61" applyFont="1" applyFill="1" applyBorder="1" applyAlignment="1" applyProtection="1">
      <alignment/>
      <protection locked="0"/>
    </xf>
    <xf numFmtId="43" fontId="120" fillId="0" borderId="14" xfId="61" applyNumberFormat="1" applyFont="1" applyFill="1" applyBorder="1" applyAlignment="1" applyProtection="1">
      <alignment/>
      <protection/>
    </xf>
    <xf numFmtId="173" fontId="120" fillId="0" borderId="14" xfId="61" applyNumberFormat="1" applyFont="1" applyFill="1" applyBorder="1" applyAlignment="1" applyProtection="1">
      <alignment/>
      <protection/>
    </xf>
    <xf numFmtId="0" fontId="115" fillId="0" borderId="15" xfId="61" applyFont="1" applyFill="1" applyBorder="1" applyAlignment="1" applyProtection="1">
      <alignment wrapText="1"/>
      <protection locked="0"/>
    </xf>
    <xf numFmtId="0" fontId="115" fillId="0" borderId="14" xfId="0" applyFont="1" applyFill="1" applyBorder="1" applyAlignment="1" applyProtection="1">
      <alignment horizontal="center"/>
      <protection locked="0"/>
    </xf>
    <xf numFmtId="43" fontId="116" fillId="0" borderId="39" xfId="56" applyFont="1" applyFill="1" applyBorder="1" applyAlignment="1" applyProtection="1">
      <alignment/>
      <protection locked="0"/>
    </xf>
    <xf numFmtId="0" fontId="117" fillId="0" borderId="14" xfId="0" applyFont="1" applyFill="1" applyBorder="1" applyAlignment="1" applyProtection="1">
      <alignment/>
      <protection locked="0"/>
    </xf>
    <xf numFmtId="0" fontId="118" fillId="0" borderId="14" xfId="0" applyFont="1" applyFill="1" applyBorder="1" applyAlignment="1" applyProtection="1">
      <alignment/>
      <protection locked="0"/>
    </xf>
    <xf numFmtId="43" fontId="118" fillId="0" borderId="14" xfId="0" applyNumberFormat="1" applyFont="1" applyFill="1" applyBorder="1" applyAlignment="1" applyProtection="1">
      <alignment/>
      <protection/>
    </xf>
    <xf numFmtId="173" fontId="118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 indent="3"/>
    </xf>
    <xf numFmtId="0" fontId="1" fillId="33" borderId="0" xfId="61" applyFont="1" applyFill="1" applyBorder="1" applyProtection="1">
      <alignment/>
      <protection locked="0"/>
    </xf>
    <xf numFmtId="0" fontId="1" fillId="33" borderId="0" xfId="61" applyFont="1" applyFill="1" applyProtection="1">
      <alignment/>
      <protection locked="0"/>
    </xf>
    <xf numFmtId="0" fontId="54" fillId="35" borderId="10" xfId="0" applyFont="1" applyFill="1" applyBorder="1" applyAlignment="1" applyProtection="1">
      <alignment horizontal="center" vertical="center" wrapText="1"/>
      <protection/>
    </xf>
    <xf numFmtId="15" fontId="54" fillId="35" borderId="10" xfId="0" applyNumberFormat="1" applyFont="1" applyFill="1" applyBorder="1" applyAlignment="1" applyProtection="1">
      <alignment horizontal="center" vertical="center" wrapText="1"/>
      <protection/>
    </xf>
    <xf numFmtId="0" fontId="54" fillId="35" borderId="10" xfId="0" applyFont="1" applyFill="1" applyBorder="1" applyAlignment="1" applyProtection="1">
      <alignment horizontal="center" vertical="center"/>
      <protection/>
    </xf>
    <xf numFmtId="0" fontId="46" fillId="0" borderId="0" xfId="61" applyFont="1" applyFill="1" applyBorder="1" applyAlignment="1">
      <alignment horizontal="center"/>
      <protection/>
    </xf>
    <xf numFmtId="0" fontId="20" fillId="0" borderId="0" xfId="61" applyFont="1" applyFill="1" applyBorder="1" applyAlignment="1">
      <alignment horizontal="left"/>
      <protection/>
    </xf>
    <xf numFmtId="0" fontId="11" fillId="0" borderId="0" xfId="61" applyFont="1" applyFill="1" applyBorder="1" applyAlignment="1" applyProtection="1">
      <alignment horizontal="center"/>
      <protection locked="0"/>
    </xf>
    <xf numFmtId="0" fontId="55" fillId="0" borderId="0" xfId="61" applyFont="1" applyFill="1" applyBorder="1" applyProtection="1">
      <alignment/>
      <protection locked="0"/>
    </xf>
    <xf numFmtId="0" fontId="42" fillId="0" borderId="0" xfId="61" applyFont="1" applyFill="1" applyBorder="1" applyAlignment="1">
      <alignment horizontal="left" indent="8"/>
      <protection/>
    </xf>
    <xf numFmtId="0" fontId="0" fillId="0" borderId="0" xfId="0" applyFont="1" applyBorder="1" applyAlignment="1">
      <alignment horizontal="left" indent="1"/>
    </xf>
    <xf numFmtId="43" fontId="18" fillId="14" borderId="10" xfId="49" applyFont="1" applyFill="1" applyBorder="1" applyAlignment="1" applyProtection="1">
      <alignment horizontal="center" vertical="center" wrapText="1"/>
      <protection/>
    </xf>
    <xf numFmtId="1" fontId="108" fillId="0" borderId="0" xfId="0" applyNumberFormat="1" applyFont="1" applyAlignment="1" applyProtection="1">
      <alignment vertical="center"/>
      <protection locked="0"/>
    </xf>
    <xf numFmtId="1" fontId="39" fillId="0" borderId="0" xfId="0" applyNumberFormat="1" applyFont="1" applyAlignment="1" applyProtection="1">
      <alignment vertical="center"/>
      <protection locked="0"/>
    </xf>
    <xf numFmtId="1" fontId="109" fillId="0" borderId="0" xfId="0" applyNumberFormat="1" applyFont="1" applyBorder="1" applyAlignment="1" applyProtection="1">
      <alignment vertical="center"/>
      <protection locked="0"/>
    </xf>
    <xf numFmtId="1" fontId="1" fillId="0" borderId="10" xfId="49" applyNumberFormat="1" applyFont="1" applyFill="1" applyBorder="1" applyAlignment="1" applyProtection="1">
      <alignment vertical="top"/>
      <protection/>
    </xf>
    <xf numFmtId="1" fontId="1" fillId="0" borderId="10" xfId="52" applyNumberFormat="1" applyFont="1" applyFill="1" applyBorder="1" applyAlignment="1" applyProtection="1">
      <alignment vertical="top"/>
      <protection/>
    </xf>
    <xf numFmtId="1" fontId="1" fillId="33" borderId="10" xfId="49" applyNumberFormat="1" applyFont="1" applyFill="1" applyBorder="1" applyAlignment="1" applyProtection="1">
      <alignment vertical="top"/>
      <protection/>
    </xf>
    <xf numFmtId="1" fontId="1" fillId="0" borderId="10" xfId="54" applyNumberFormat="1" applyFont="1" applyFill="1" applyBorder="1" applyAlignment="1" applyProtection="1">
      <alignment vertical="top"/>
      <protection/>
    </xf>
    <xf numFmtId="1" fontId="1" fillId="0" borderId="19" xfId="49" applyNumberFormat="1" applyFont="1" applyFill="1" applyBorder="1" applyAlignment="1" applyProtection="1">
      <alignment vertical="top"/>
      <protection/>
    </xf>
    <xf numFmtId="1" fontId="1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13" fillId="0" borderId="0" xfId="52" applyNumberFormat="1" applyFont="1" applyFill="1" applyBorder="1" applyAlignment="1" applyProtection="1">
      <alignment vertical="top" wrapText="1"/>
      <protection locked="0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42" fillId="0" borderId="16" xfId="61" applyNumberFormat="1" applyFont="1" applyFill="1" applyBorder="1" applyAlignment="1">
      <alignment horizontal="left" indent="3"/>
      <protection/>
    </xf>
    <xf numFmtId="0" fontId="18" fillId="14" borderId="10" xfId="0" applyFont="1" applyFill="1" applyBorder="1" applyAlignment="1" applyProtection="1">
      <alignment horizontal="center" vertical="center" wrapText="1"/>
      <protection/>
    </xf>
    <xf numFmtId="0" fontId="18" fillId="35" borderId="10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/>
    </xf>
    <xf numFmtId="1" fontId="0" fillId="0" borderId="40" xfId="0" applyNumberFormat="1" applyBorder="1" applyAlignment="1">
      <alignment/>
    </xf>
    <xf numFmtId="1" fontId="15" fillId="35" borderId="10" xfId="52" applyNumberFormat="1" applyFont="1" applyFill="1" applyBorder="1" applyAlignment="1" applyProtection="1">
      <alignment horizontal="center" vertical="center" wrapText="1"/>
      <protection/>
    </xf>
    <xf numFmtId="1" fontId="18" fillId="35" borderId="10" xfId="52" applyNumberFormat="1" applyFont="1" applyFill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 applyProtection="1">
      <alignment vertical="center" wrapText="1"/>
      <protection/>
    </xf>
    <xf numFmtId="15" fontId="15" fillId="35" borderId="10" xfId="0" applyNumberFormat="1" applyFont="1" applyFill="1" applyBorder="1" applyAlignment="1" applyProtection="1">
      <alignment horizontal="center" vertical="center" wrapText="1"/>
      <protection/>
    </xf>
    <xf numFmtId="15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left" indent="4"/>
    </xf>
    <xf numFmtId="0" fontId="20" fillId="0" borderId="0" xfId="0" applyFont="1" applyAlignment="1">
      <alignment horizontal="left" indent="4"/>
    </xf>
    <xf numFmtId="0" fontId="20" fillId="0" borderId="0" xfId="0" applyFont="1" applyFill="1" applyBorder="1" applyAlignment="1">
      <alignment horizontal="left" indent="2"/>
    </xf>
    <xf numFmtId="15" fontId="1" fillId="0" borderId="0" xfId="61" applyNumberFormat="1" applyFont="1" applyFill="1" applyBorder="1" applyAlignment="1" applyProtection="1" quotePrefix="1">
      <alignment horizontal="left" vertical="top" indent="6"/>
      <protection locked="0"/>
    </xf>
    <xf numFmtId="15" fontId="1" fillId="0" borderId="0" xfId="61" applyNumberFormat="1" applyFont="1" applyFill="1" applyBorder="1" applyAlignment="1" applyProtection="1" quotePrefix="1">
      <alignment horizontal="left" vertical="top" indent="4"/>
      <protection locked="0"/>
    </xf>
    <xf numFmtId="15" fontId="1" fillId="0" borderId="0" xfId="61" applyNumberFormat="1" applyFont="1" applyFill="1" applyBorder="1" applyAlignment="1" applyProtection="1" quotePrefix="1">
      <alignment horizontal="left" vertical="top" indent="1"/>
      <protection locked="0"/>
    </xf>
    <xf numFmtId="0" fontId="24" fillId="0" borderId="16" xfId="61" applyFont="1" applyFill="1" applyBorder="1" applyAlignment="1" applyProtection="1">
      <alignment horizontal="left" indent="7"/>
      <protection locked="0"/>
    </xf>
    <xf numFmtId="0" fontId="20" fillId="0" borderId="17" xfId="0" applyFont="1" applyFill="1" applyBorder="1" applyAlignment="1">
      <alignment horizontal="left" indent="5"/>
    </xf>
    <xf numFmtId="0" fontId="20" fillId="0" borderId="16" xfId="0" applyFont="1" applyFill="1" applyBorder="1" applyAlignment="1">
      <alignment horizontal="left" indent="4"/>
    </xf>
    <xf numFmtId="0" fontId="24" fillId="0" borderId="16" xfId="61" applyFont="1" applyFill="1" applyBorder="1" applyAlignment="1" applyProtection="1">
      <alignment horizontal="left" indent="10"/>
      <protection locked="0"/>
    </xf>
    <xf numFmtId="0" fontId="25" fillId="0" borderId="16" xfId="61" applyFont="1" applyFill="1" applyBorder="1" applyAlignment="1">
      <alignment horizontal="left" indent="5"/>
      <protection/>
    </xf>
    <xf numFmtId="0" fontId="25" fillId="0" borderId="16" xfId="61" applyFont="1" applyFill="1" applyBorder="1" applyAlignment="1">
      <alignment horizontal="left" indent="7"/>
      <protection/>
    </xf>
    <xf numFmtId="0" fontId="25" fillId="0" borderId="16" xfId="61" applyFont="1" applyFill="1" applyBorder="1" applyAlignment="1">
      <alignment horizontal="left" indent="9"/>
      <protection/>
    </xf>
    <xf numFmtId="0" fontId="20" fillId="0" borderId="16" xfId="0" applyFont="1" applyFill="1" applyBorder="1" applyAlignment="1">
      <alignment horizontal="left" indent="8"/>
    </xf>
    <xf numFmtId="0" fontId="20" fillId="0" borderId="17" xfId="0" applyFont="1" applyFill="1" applyBorder="1" applyAlignment="1">
      <alignment horizontal="left" indent="7"/>
    </xf>
    <xf numFmtId="0" fontId="20" fillId="0" borderId="17" xfId="0" applyFont="1" applyFill="1" applyBorder="1" applyAlignment="1">
      <alignment horizontal="left" indent="9"/>
    </xf>
    <xf numFmtId="0" fontId="1" fillId="0" borderId="0" xfId="61" applyFont="1" applyFill="1" applyBorder="1" applyAlignment="1" applyProtection="1">
      <alignment horizontal="left" vertical="top"/>
      <protection locked="0"/>
    </xf>
    <xf numFmtId="0" fontId="24" fillId="0" borderId="16" xfId="0" applyFont="1" applyFill="1" applyBorder="1" applyAlignment="1" applyProtection="1">
      <alignment horizontal="left" indent="5"/>
      <protection locked="0"/>
    </xf>
    <xf numFmtId="0" fontId="25" fillId="0" borderId="16" xfId="0" applyFont="1" applyFill="1" applyBorder="1" applyAlignment="1">
      <alignment horizontal="left" indent="4"/>
    </xf>
    <xf numFmtId="15" fontId="1" fillId="0" borderId="0" xfId="0" applyNumberFormat="1" applyFont="1" applyFill="1" applyBorder="1" applyAlignment="1" applyProtection="1" quotePrefix="1">
      <alignment horizontal="left" vertical="top" indent="2"/>
      <protection locked="0"/>
    </xf>
    <xf numFmtId="0" fontId="25" fillId="0" borderId="0" xfId="61" applyFont="1" applyFill="1" applyBorder="1" applyAlignment="1">
      <alignment horizontal="left" indent="3"/>
      <protection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43" fontId="1" fillId="0" borderId="41" xfId="52" applyFont="1" applyFill="1" applyBorder="1" applyAlignment="1" applyProtection="1">
      <alignment vertical="top" wrapText="1"/>
      <protection locked="0"/>
    </xf>
    <xf numFmtId="0" fontId="11" fillId="13" borderId="42" xfId="0" applyFont="1" applyFill="1" applyBorder="1" applyAlignment="1" applyProtection="1">
      <alignment horizontal="center" vertical="top"/>
      <protection locked="0"/>
    </xf>
    <xf numFmtId="0" fontId="11" fillId="13" borderId="43" xfId="0" applyFont="1" applyFill="1" applyBorder="1" applyAlignment="1" applyProtection="1">
      <alignment horizontal="center" vertical="top"/>
      <protection locked="0"/>
    </xf>
    <xf numFmtId="0" fontId="11" fillId="13" borderId="44" xfId="0" applyFont="1" applyFill="1" applyBorder="1" applyAlignment="1" applyProtection="1">
      <alignment horizontal="center" vertical="top"/>
      <protection locked="0"/>
    </xf>
    <xf numFmtId="43" fontId="11" fillId="13" borderId="26" xfId="52" applyFont="1" applyFill="1" applyBorder="1" applyAlignment="1" applyProtection="1">
      <alignment horizontal="center" vertical="top"/>
      <protection/>
    </xf>
    <xf numFmtId="43" fontId="11" fillId="13" borderId="45" xfId="52" applyFont="1" applyFill="1" applyBorder="1" applyAlignment="1" applyProtection="1">
      <alignment horizontal="center" vertical="top"/>
      <protection/>
    </xf>
    <xf numFmtId="43" fontId="11" fillId="13" borderId="46" xfId="52" applyFont="1" applyFill="1" applyBorder="1" applyAlignment="1" applyProtection="1">
      <alignment horizontal="center" vertical="top"/>
      <protection/>
    </xf>
    <xf numFmtId="43" fontId="11" fillId="13" borderId="47" xfId="52" applyFont="1" applyFill="1" applyBorder="1" applyAlignment="1" applyProtection="1">
      <alignment horizontal="center" vertical="top"/>
      <protection/>
    </xf>
    <xf numFmtId="43" fontId="11" fillId="13" borderId="48" xfId="52" applyFont="1" applyFill="1" applyBorder="1" applyAlignment="1" applyProtection="1">
      <alignment horizontal="center" vertical="top"/>
      <protection/>
    </xf>
    <xf numFmtId="43" fontId="11" fillId="13" borderId="49" xfId="52" applyFont="1" applyFill="1" applyBorder="1" applyAlignment="1" applyProtection="1">
      <alignment horizontal="center" vertical="top"/>
      <protection/>
    </xf>
    <xf numFmtId="43" fontId="11" fillId="13" borderId="50" xfId="52" applyFont="1" applyFill="1" applyBorder="1" applyAlignment="1" applyProtection="1">
      <alignment horizontal="center" vertical="top"/>
      <protection/>
    </xf>
    <xf numFmtId="43" fontId="11" fillId="13" borderId="51" xfId="52" applyFont="1" applyFill="1" applyBorder="1" applyAlignment="1" applyProtection="1">
      <alignment horizontal="center" vertical="top"/>
      <protection/>
    </xf>
    <xf numFmtId="0" fontId="20" fillId="8" borderId="52" xfId="61" applyFont="1" applyFill="1" applyBorder="1" applyAlignment="1" applyProtection="1">
      <alignment horizontal="center" vertical="top"/>
      <protection locked="0"/>
    </xf>
    <xf numFmtId="0" fontId="11" fillId="8" borderId="53" xfId="61" applyFont="1" applyFill="1" applyBorder="1" applyAlignment="1" applyProtection="1">
      <alignment horizontal="center" vertical="top" wrapText="1"/>
      <protection locked="0"/>
    </xf>
    <xf numFmtId="0" fontId="11" fillId="8" borderId="52" xfId="61" applyFont="1" applyFill="1" applyBorder="1" applyAlignment="1" applyProtection="1">
      <alignment horizontal="center" vertical="top" wrapText="1"/>
      <protection locked="0"/>
    </xf>
    <xf numFmtId="43" fontId="33" fillId="8" borderId="54" xfId="52" applyNumberFormat="1" applyFont="1" applyFill="1" applyBorder="1" applyAlignment="1" applyProtection="1">
      <alignment horizontal="center"/>
      <protection/>
    </xf>
    <xf numFmtId="0" fontId="33" fillId="8" borderId="44" xfId="61" applyFont="1" applyFill="1" applyBorder="1" applyAlignment="1" applyProtection="1">
      <alignment horizontal="center"/>
      <protection locked="0"/>
    </xf>
    <xf numFmtId="43" fontId="33" fillId="8" borderId="45" xfId="52" applyNumberFormat="1" applyFont="1" applyFill="1" applyBorder="1" applyAlignment="1" applyProtection="1">
      <alignment horizontal="center"/>
      <protection/>
    </xf>
    <xf numFmtId="0" fontId="20" fillId="14" borderId="45" xfId="0" applyFont="1" applyFill="1" applyBorder="1" applyAlignment="1" applyProtection="1">
      <alignment horizontal="center" vertical="top"/>
      <protection locked="0"/>
    </xf>
    <xf numFmtId="0" fontId="48" fillId="13" borderId="47" xfId="0" applyFont="1" applyFill="1" applyBorder="1" applyAlignment="1" applyProtection="1">
      <alignment horizontal="center" vertical="top"/>
      <protection locked="0"/>
    </xf>
    <xf numFmtId="0" fontId="48" fillId="13" borderId="50" xfId="0" applyFont="1" applyFill="1" applyBorder="1" applyAlignment="1" applyProtection="1">
      <alignment horizontal="center" vertical="top"/>
      <protection locked="0"/>
    </xf>
    <xf numFmtId="0" fontId="47" fillId="14" borderId="0" xfId="0" applyFont="1" applyFill="1" applyBorder="1" applyAlignment="1" applyProtection="1">
      <alignment horizontal="center" vertical="top" wrapText="1"/>
      <protection locked="0"/>
    </xf>
    <xf numFmtId="0" fontId="47" fillId="14" borderId="47" xfId="0" applyFont="1" applyFill="1" applyBorder="1" applyAlignment="1" applyProtection="1">
      <alignment horizontal="center" vertical="top" wrapText="1"/>
      <protection locked="0"/>
    </xf>
    <xf numFmtId="0" fontId="48" fillId="13" borderId="53" xfId="0" applyFont="1" applyFill="1" applyBorder="1" applyAlignment="1" applyProtection="1">
      <alignment horizontal="center" vertical="top"/>
      <protection locked="0"/>
    </xf>
    <xf numFmtId="0" fontId="48" fillId="13" borderId="55" xfId="0" applyFont="1" applyFill="1" applyBorder="1" applyAlignment="1" applyProtection="1">
      <alignment horizontal="center" vertical="top"/>
      <protection locked="0"/>
    </xf>
    <xf numFmtId="0" fontId="48" fillId="13" borderId="45" xfId="0" applyFont="1" applyFill="1" applyBorder="1" applyAlignment="1" applyProtection="1">
      <alignment horizontal="center" vertical="top"/>
      <protection locked="0"/>
    </xf>
    <xf numFmtId="0" fontId="48" fillId="13" borderId="26" xfId="0" applyFont="1" applyFill="1" applyBorder="1" applyAlignment="1" applyProtection="1">
      <alignment horizontal="center" vertical="top"/>
      <protection locked="0"/>
    </xf>
    <xf numFmtId="0" fontId="0" fillId="0" borderId="56" xfId="0" applyBorder="1" applyAlignment="1">
      <alignment/>
    </xf>
    <xf numFmtId="0" fontId="0" fillId="0" borderId="27" xfId="0" applyBorder="1" applyAlignment="1">
      <alignment/>
    </xf>
    <xf numFmtId="43" fontId="4" fillId="13" borderId="26" xfId="0" applyNumberFormat="1" applyFont="1" applyFill="1" applyBorder="1" applyAlignment="1">
      <alignment/>
    </xf>
    <xf numFmtId="43" fontId="4" fillId="13" borderId="47" xfId="0" applyNumberFormat="1" applyFont="1" applyFill="1" applyBorder="1" applyAlignment="1">
      <alignment/>
    </xf>
    <xf numFmtId="43" fontId="4" fillId="13" borderId="48" xfId="0" applyNumberFormat="1" applyFont="1" applyFill="1" applyBorder="1" applyAlignment="1">
      <alignment/>
    </xf>
    <xf numFmtId="0" fontId="25" fillId="0" borderId="27" xfId="0" applyFont="1" applyFill="1" applyBorder="1" applyAlignment="1">
      <alignment horizontal="left" indent="1"/>
    </xf>
    <xf numFmtId="43" fontId="4" fillId="13" borderId="49" xfId="0" applyNumberFormat="1" applyFont="1" applyFill="1" applyBorder="1" applyAlignment="1">
      <alignment/>
    </xf>
    <xf numFmtId="43" fontId="24" fillId="35" borderId="34" xfId="0" applyNumberFormat="1" applyFont="1" applyFill="1" applyBorder="1" applyAlignment="1">
      <alignment/>
    </xf>
    <xf numFmtId="43" fontId="24" fillId="35" borderId="35" xfId="0" applyNumberFormat="1" applyFont="1" applyFill="1" applyBorder="1" applyAlignment="1">
      <alignment/>
    </xf>
    <xf numFmtId="0" fontId="0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indent="6"/>
    </xf>
    <xf numFmtId="0" fontId="42" fillId="0" borderId="16" xfId="61" applyFont="1" applyFill="1" applyBorder="1" applyAlignment="1">
      <alignment horizontal="left" indent="10"/>
      <protection/>
    </xf>
    <xf numFmtId="0" fontId="42" fillId="0" borderId="0" xfId="61" applyFont="1" applyFill="1" applyBorder="1" applyAlignment="1">
      <alignment horizontal="left" indent="6"/>
      <protection/>
    </xf>
    <xf numFmtId="0" fontId="0" fillId="0" borderId="0" xfId="0" applyFont="1" applyBorder="1" applyAlignment="1">
      <alignment horizontal="left"/>
    </xf>
    <xf numFmtId="0" fontId="42" fillId="0" borderId="0" xfId="61" applyFont="1" applyFill="1" applyBorder="1" applyAlignment="1">
      <alignment horizontal="left" indent="10"/>
      <protection/>
    </xf>
    <xf numFmtId="43" fontId="1" fillId="0" borderId="48" xfId="52" applyFont="1" applyFill="1" applyBorder="1" applyAlignment="1" applyProtection="1">
      <alignment horizontal="center" wrapText="1"/>
      <protection locked="0"/>
    </xf>
    <xf numFmtId="43" fontId="1" fillId="0" borderId="48" xfId="52" applyFont="1" applyFill="1" applyBorder="1" applyAlignment="1" applyProtection="1">
      <alignment wrapText="1"/>
      <protection locked="0"/>
    </xf>
    <xf numFmtId="14" fontId="1" fillId="0" borderId="57" xfId="61" applyNumberFormat="1" applyFont="1" applyFill="1" applyBorder="1" applyAlignment="1" applyProtection="1" quotePrefix="1">
      <alignment/>
      <protection locked="0"/>
    </xf>
    <xf numFmtId="15" fontId="36" fillId="0" borderId="10" xfId="61" applyNumberFormat="1" applyFont="1" applyFill="1" applyBorder="1" applyAlignment="1" applyProtection="1" quotePrefix="1">
      <alignment vertical="top"/>
      <protection locked="0"/>
    </xf>
    <xf numFmtId="0" fontId="36" fillId="0" borderId="10" xfId="61" applyFont="1" applyFill="1" applyBorder="1" applyAlignment="1" applyProtection="1">
      <alignment vertical="top" wrapText="1"/>
      <protection locked="0"/>
    </xf>
    <xf numFmtId="0" fontId="36" fillId="0" borderId="10" xfId="61" applyFont="1" applyFill="1" applyBorder="1" applyAlignment="1" applyProtection="1">
      <alignment horizontal="center" vertical="top" wrapText="1"/>
      <protection locked="0"/>
    </xf>
    <xf numFmtId="43" fontId="49" fillId="0" borderId="10" xfId="61" applyNumberFormat="1" applyFont="1" applyFill="1" applyBorder="1" applyAlignment="1" applyProtection="1">
      <alignment vertical="top"/>
      <protection/>
    </xf>
    <xf numFmtId="173" fontId="49" fillId="0" borderId="10" xfId="61" applyNumberFormat="1" applyFont="1" applyFill="1" applyBorder="1" applyAlignment="1" applyProtection="1">
      <alignment vertical="top"/>
      <protection/>
    </xf>
    <xf numFmtId="49" fontId="49" fillId="0" borderId="10" xfId="52" applyNumberFormat="1" applyFont="1" applyFill="1" applyBorder="1" applyAlignment="1" applyProtection="1">
      <alignment horizontal="center" vertical="top" wrapText="1"/>
      <protection/>
    </xf>
    <xf numFmtId="43" fontId="49" fillId="0" borderId="10" xfId="57" applyFont="1" applyFill="1" applyBorder="1" applyAlignment="1" applyProtection="1">
      <alignment horizontal="center" vertical="top" wrapText="1"/>
      <protection/>
    </xf>
    <xf numFmtId="43" fontId="36" fillId="0" borderId="10" xfId="57" applyFont="1" applyFill="1" applyBorder="1" applyAlignment="1" applyProtection="1">
      <alignment vertical="top"/>
      <protection/>
    </xf>
    <xf numFmtId="43" fontId="49" fillId="0" borderId="10" xfId="57" applyFont="1" applyFill="1" applyBorder="1" applyAlignment="1" applyProtection="1">
      <alignment vertical="top"/>
      <protection/>
    </xf>
    <xf numFmtId="15" fontId="36" fillId="0" borderId="31" xfId="0" applyNumberFormat="1" applyFont="1" applyFill="1" applyBorder="1" applyAlignment="1" applyProtection="1" quotePrefix="1">
      <alignment horizontal="center" vertical="top"/>
      <protection locked="0"/>
    </xf>
    <xf numFmtId="0" fontId="36" fillId="0" borderId="31" xfId="0" applyFont="1" applyFill="1" applyBorder="1" applyAlignment="1" applyProtection="1">
      <alignment horizontal="center" vertical="top" wrapText="1"/>
      <protection locked="0"/>
    </xf>
    <xf numFmtId="0" fontId="36" fillId="0" borderId="31" xfId="0" applyFont="1" applyFill="1" applyBorder="1" applyAlignment="1" applyProtection="1">
      <alignment horizontal="left" vertical="top" wrapText="1"/>
      <protection locked="0"/>
    </xf>
    <xf numFmtId="43" fontId="49" fillId="0" borderId="31" xfId="52" applyFont="1" applyFill="1" applyBorder="1" applyAlignment="1" applyProtection="1">
      <alignment horizontal="center" vertical="top" wrapText="1"/>
      <protection/>
    </xf>
    <xf numFmtId="43" fontId="36" fillId="0" borderId="31" xfId="52" applyFont="1" applyFill="1" applyBorder="1" applyAlignment="1" applyProtection="1">
      <alignment vertical="top"/>
      <protection/>
    </xf>
    <xf numFmtId="43" fontId="36" fillId="0" borderId="10" xfId="52" applyFont="1" applyFill="1" applyBorder="1" applyAlignment="1" applyProtection="1">
      <alignment vertical="top" wrapText="1"/>
      <protection locked="0"/>
    </xf>
    <xf numFmtId="43" fontId="36" fillId="0" borderId="10" xfId="52" applyFont="1" applyFill="1" applyBorder="1" applyAlignment="1" applyProtection="1">
      <alignment horizontal="center" vertical="top" wrapText="1"/>
      <protection locked="0"/>
    </xf>
    <xf numFmtId="43" fontId="36" fillId="0" borderId="10" xfId="61" applyNumberFormat="1" applyFont="1" applyFill="1" applyBorder="1" applyAlignment="1" applyProtection="1">
      <alignment vertical="top" wrapText="1"/>
      <protection locked="0"/>
    </xf>
    <xf numFmtId="43" fontId="36" fillId="0" borderId="10" xfId="52" applyFont="1" applyFill="1" applyBorder="1" applyAlignment="1" applyProtection="1">
      <alignment horizontal="center" vertical="center" wrapText="1"/>
      <protection locked="0"/>
    </xf>
    <xf numFmtId="43" fontId="36" fillId="0" borderId="10" xfId="52" applyFont="1" applyFill="1" applyBorder="1" applyAlignment="1" applyProtection="1">
      <alignment vertical="top" wrapText="1"/>
      <protection/>
    </xf>
    <xf numFmtId="43" fontId="36" fillId="0" borderId="10" xfId="52" applyFont="1" applyFill="1" applyBorder="1" applyAlignment="1" applyProtection="1">
      <alignment horizontal="left" vertical="top" wrapText="1"/>
      <protection locked="0"/>
    </xf>
    <xf numFmtId="0" fontId="1" fillId="0" borderId="0" xfId="61" applyFont="1" applyFill="1" applyBorder="1" applyAlignment="1">
      <alignment horizontal="left"/>
      <protection/>
    </xf>
    <xf numFmtId="0" fontId="17" fillId="0" borderId="16" xfId="0" applyFont="1" applyFill="1" applyBorder="1" applyAlignment="1">
      <alignment horizontal="left" indent="6"/>
    </xf>
    <xf numFmtId="15" fontId="1" fillId="0" borderId="0" xfId="0" applyNumberFormat="1" applyFont="1" applyFill="1" applyBorder="1" applyAlignment="1" applyProtection="1" quotePrefix="1">
      <alignment horizontal="center" vertical="top"/>
      <protection locked="0"/>
    </xf>
    <xf numFmtId="0" fontId="36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62" applyFont="1" applyFill="1" applyBorder="1" applyAlignment="1" applyProtection="1">
      <alignment horizontal="left" vertical="top" wrapText="1"/>
      <protection locked="0"/>
    </xf>
    <xf numFmtId="0" fontId="1" fillId="0" borderId="0" xfId="62" applyFont="1" applyFill="1" applyBorder="1" applyAlignment="1" applyProtection="1">
      <alignment horizontal="center" vertical="top" wrapText="1"/>
      <protection locked="0"/>
    </xf>
    <xf numFmtId="43" fontId="49" fillId="0" borderId="0" xfId="52" applyFont="1" applyFill="1" applyBorder="1" applyAlignment="1" applyProtection="1">
      <alignment horizontal="center" vertical="top" wrapText="1"/>
      <protection/>
    </xf>
    <xf numFmtId="1" fontId="1" fillId="0" borderId="0" xfId="52" applyNumberFormat="1" applyFont="1" applyFill="1" applyBorder="1" applyAlignment="1" applyProtection="1">
      <alignment vertical="top"/>
      <protection/>
    </xf>
    <xf numFmtId="173" fontId="49" fillId="0" borderId="0" xfId="0" applyNumberFormat="1" applyFont="1" applyFill="1" applyBorder="1" applyAlignment="1" applyProtection="1">
      <alignment vertical="top"/>
      <protection/>
    </xf>
    <xf numFmtId="0" fontId="36" fillId="0" borderId="0" xfId="0" applyFont="1" applyFill="1" applyBorder="1" applyAlignment="1" applyProtection="1">
      <alignment vertical="top" wrapText="1"/>
      <protection locked="0"/>
    </xf>
    <xf numFmtId="43" fontId="4" fillId="13" borderId="55" xfId="0" applyNumberFormat="1" applyFont="1" applyFill="1" applyBorder="1" applyAlignment="1">
      <alignment horizontal="left" vertical="center"/>
    </xf>
    <xf numFmtId="43" fontId="4" fillId="13" borderId="50" xfId="0" applyNumberFormat="1" applyFont="1" applyFill="1" applyBorder="1" applyAlignment="1">
      <alignment horizontal="left" vertical="center" indent="5"/>
    </xf>
    <xf numFmtId="43" fontId="4" fillId="13" borderId="26" xfId="0" applyNumberFormat="1" applyFont="1" applyFill="1" applyBorder="1" applyAlignment="1">
      <alignment horizontal="left" vertical="center" indent="5"/>
    </xf>
    <xf numFmtId="43" fontId="4" fillId="13" borderId="45" xfId="0" applyNumberFormat="1" applyFont="1" applyFill="1" applyBorder="1" applyAlignment="1">
      <alignment horizontal="left" vertical="center" indent="5"/>
    </xf>
    <xf numFmtId="43" fontId="4" fillId="13" borderId="47" xfId="0" applyNumberFormat="1" applyFont="1" applyFill="1" applyBorder="1" applyAlignment="1">
      <alignment horizontal="left" vertical="center" indent="5"/>
    </xf>
    <xf numFmtId="43" fontId="4" fillId="13" borderId="48" xfId="0" applyNumberFormat="1" applyFont="1" applyFill="1" applyBorder="1" applyAlignment="1">
      <alignment horizontal="left" vertical="center" indent="5"/>
    </xf>
    <xf numFmtId="43" fontId="4" fillId="13" borderId="58" xfId="0" applyNumberFormat="1" applyFont="1" applyFill="1" applyBorder="1" applyAlignment="1">
      <alignment horizontal="left" vertical="center" indent="5"/>
    </xf>
    <xf numFmtId="43" fontId="4" fillId="13" borderId="46" xfId="0" applyNumberFormat="1" applyFont="1" applyFill="1" applyBorder="1" applyAlignment="1">
      <alignment horizontal="left" indent="4"/>
    </xf>
    <xf numFmtId="43" fontId="7" fillId="0" borderId="0" xfId="52" applyFont="1" applyFill="1" applyBorder="1" applyAlignment="1" applyProtection="1">
      <alignment horizontal="center" vertical="top" wrapText="1"/>
      <protection/>
    </xf>
    <xf numFmtId="43" fontId="1" fillId="0" borderId="0" xfId="49" applyFont="1" applyFill="1" applyBorder="1" applyAlignment="1" applyProtection="1">
      <alignment vertical="top"/>
      <protection/>
    </xf>
    <xf numFmtId="15" fontId="36" fillId="4" borderId="31" xfId="0" applyNumberFormat="1" applyFont="1" applyFill="1" applyBorder="1" applyAlignment="1" applyProtection="1" quotePrefix="1">
      <alignment horizontal="center" vertical="top"/>
      <protection locked="0"/>
    </xf>
    <xf numFmtId="0" fontId="36" fillId="4" borderId="31" xfId="0" applyFont="1" applyFill="1" applyBorder="1" applyAlignment="1" applyProtection="1">
      <alignment horizontal="center" vertical="top" wrapText="1"/>
      <protection locked="0"/>
    </xf>
    <xf numFmtId="0" fontId="36" fillId="4" borderId="10" xfId="0" applyFont="1" applyFill="1" applyBorder="1" applyAlignment="1" applyProtection="1">
      <alignment horizontal="center" vertical="top" wrapText="1"/>
      <protection locked="0"/>
    </xf>
    <xf numFmtId="0" fontId="36" fillId="4" borderId="31" xfId="0" applyFont="1" applyFill="1" applyBorder="1" applyAlignment="1" applyProtection="1">
      <alignment horizontal="left" vertical="top" wrapText="1"/>
      <protection locked="0"/>
    </xf>
    <xf numFmtId="0" fontId="36" fillId="4" borderId="31" xfId="0" applyFont="1" applyFill="1" applyBorder="1" applyAlignment="1" applyProtection="1">
      <alignment vertical="top" wrapText="1"/>
      <protection locked="0"/>
    </xf>
    <xf numFmtId="43" fontId="49" fillId="4" borderId="31" xfId="52" applyFont="1" applyFill="1" applyBorder="1" applyAlignment="1" applyProtection="1">
      <alignment horizontal="center" vertical="top" wrapText="1"/>
      <protection/>
    </xf>
    <xf numFmtId="43" fontId="36" fillId="4" borderId="31" xfId="52" applyFont="1" applyFill="1" applyBorder="1" applyAlignment="1" applyProtection="1">
      <alignment vertical="top"/>
      <protection/>
    </xf>
    <xf numFmtId="43" fontId="49" fillId="4" borderId="10" xfId="0" applyNumberFormat="1" applyFont="1" applyFill="1" applyBorder="1" applyAlignment="1" applyProtection="1">
      <alignment vertical="top"/>
      <protection/>
    </xf>
    <xf numFmtId="173" fontId="49" fillId="4" borderId="10" xfId="0" applyNumberFormat="1" applyFont="1" applyFill="1" applyBorder="1" applyAlignment="1" applyProtection="1">
      <alignment vertical="top"/>
      <protection/>
    </xf>
    <xf numFmtId="43" fontId="49" fillId="4" borderId="10" xfId="52" applyFont="1" applyFill="1" applyBorder="1" applyAlignment="1" applyProtection="1">
      <alignment vertical="top"/>
      <protection/>
    </xf>
    <xf numFmtId="0" fontId="36" fillId="4" borderId="10" xfId="0" applyFont="1" applyFill="1" applyBorder="1" applyAlignment="1" applyProtection="1">
      <alignment vertical="top" wrapText="1"/>
      <protection locked="0"/>
    </xf>
    <xf numFmtId="43" fontId="36" fillId="4" borderId="10" xfId="52" applyFont="1" applyFill="1" applyBorder="1" applyAlignment="1" applyProtection="1">
      <alignment vertical="top" wrapText="1"/>
      <protection locked="0"/>
    </xf>
    <xf numFmtId="0" fontId="36" fillId="12" borderId="10" xfId="0" applyFont="1" applyFill="1" applyBorder="1" applyAlignment="1" applyProtection="1">
      <alignment horizontal="center" vertical="top" wrapText="1"/>
      <protection locked="0"/>
    </xf>
    <xf numFmtId="0" fontId="36" fillId="12" borderId="10" xfId="0" applyFont="1" applyFill="1" applyBorder="1" applyAlignment="1" applyProtection="1">
      <alignment horizontal="left" vertical="top" wrapText="1"/>
      <protection locked="0"/>
    </xf>
    <xf numFmtId="173" fontId="49" fillId="12" borderId="10" xfId="0" applyNumberFormat="1" applyFont="1" applyFill="1" applyBorder="1" applyAlignment="1" applyProtection="1">
      <alignment vertical="top"/>
      <protection/>
    </xf>
    <xf numFmtId="43" fontId="49" fillId="12" borderId="10" xfId="52" applyFont="1" applyFill="1" applyBorder="1" applyAlignment="1" applyProtection="1">
      <alignment vertical="top"/>
      <protection/>
    </xf>
    <xf numFmtId="15" fontId="36" fillId="4" borderId="10" xfId="61" applyNumberFormat="1" applyFont="1" applyFill="1" applyBorder="1" applyAlignment="1" applyProtection="1" quotePrefix="1">
      <alignment vertical="top"/>
      <protection locked="0"/>
    </xf>
    <xf numFmtId="0" fontId="36" fillId="4" borderId="10" xfId="0" applyFont="1" applyFill="1" applyBorder="1" applyAlignment="1" applyProtection="1">
      <alignment horizontal="left" vertical="top" wrapText="1"/>
      <protection locked="0"/>
    </xf>
    <xf numFmtId="43" fontId="36" fillId="4" borderId="10" xfId="52" applyFont="1" applyFill="1" applyBorder="1" applyAlignment="1" applyProtection="1">
      <alignment horizontal="center" vertical="center" wrapText="1"/>
      <protection locked="0"/>
    </xf>
    <xf numFmtId="43" fontId="36" fillId="4" borderId="10" xfId="52" applyFont="1" applyFill="1" applyBorder="1" applyAlignment="1" applyProtection="1">
      <alignment horizontal="center" vertical="top" wrapText="1"/>
      <protection locked="0"/>
    </xf>
    <xf numFmtId="43" fontId="36" fillId="4" borderId="10" xfId="52" applyFont="1" applyFill="1" applyBorder="1" applyAlignment="1" applyProtection="1">
      <alignment vertical="top" wrapText="1"/>
      <protection/>
    </xf>
    <xf numFmtId="43" fontId="36" fillId="4" borderId="10" xfId="61" applyNumberFormat="1" applyFont="1" applyFill="1" applyBorder="1" applyAlignment="1" applyProtection="1">
      <alignment vertical="top" wrapText="1"/>
      <protection locked="0"/>
    </xf>
    <xf numFmtId="15" fontId="36" fillId="12" borderId="10" xfId="0" applyNumberFormat="1" applyFont="1" applyFill="1" applyBorder="1" applyAlignment="1" applyProtection="1" quotePrefix="1">
      <alignment horizontal="center" vertical="top"/>
      <protection locked="0"/>
    </xf>
    <xf numFmtId="0" fontId="36" fillId="12" borderId="10" xfId="0" applyFont="1" applyFill="1" applyBorder="1" applyAlignment="1" applyProtection="1">
      <alignment vertical="top" wrapText="1"/>
      <protection locked="0"/>
    </xf>
    <xf numFmtId="43" fontId="49" fillId="12" borderId="10" xfId="52" applyFont="1" applyFill="1" applyBorder="1" applyAlignment="1" applyProtection="1">
      <alignment horizontal="center" vertical="top" wrapText="1"/>
      <protection/>
    </xf>
    <xf numFmtId="43" fontId="36" fillId="12" borderId="10" xfId="52" applyFont="1" applyFill="1" applyBorder="1" applyAlignment="1" applyProtection="1">
      <alignment vertical="top"/>
      <protection/>
    </xf>
    <xf numFmtId="43" fontId="49" fillId="12" borderId="10" xfId="0" applyNumberFormat="1" applyFont="1" applyFill="1" applyBorder="1" applyAlignment="1" applyProtection="1">
      <alignment vertical="top"/>
      <protection/>
    </xf>
    <xf numFmtId="43" fontId="49" fillId="12" borderId="10" xfId="57" applyFont="1" applyFill="1" applyBorder="1" applyAlignment="1" applyProtection="1">
      <alignment horizontal="center" vertical="top" wrapText="1"/>
      <protection/>
    </xf>
    <xf numFmtId="43" fontId="36" fillId="12" borderId="10" xfId="57" applyFont="1" applyFill="1" applyBorder="1" applyAlignment="1" applyProtection="1">
      <alignment vertical="top"/>
      <protection/>
    </xf>
    <xf numFmtId="43" fontId="49" fillId="12" borderId="10" xfId="57" applyFont="1" applyFill="1" applyBorder="1" applyAlignment="1" applyProtection="1">
      <alignment vertical="top"/>
      <protection/>
    </xf>
    <xf numFmtId="15" fontId="1" fillId="12" borderId="10" xfId="0" applyNumberFormat="1" applyFont="1" applyFill="1" applyBorder="1" applyAlignment="1" applyProtection="1" quotePrefix="1">
      <alignment vertical="top"/>
      <protection locked="0"/>
    </xf>
    <xf numFmtId="0" fontId="1" fillId="12" borderId="10" xfId="0" applyFont="1" applyFill="1" applyBorder="1" applyAlignment="1" applyProtection="1">
      <alignment horizontal="center" vertical="top" wrapText="1"/>
      <protection locked="0"/>
    </xf>
    <xf numFmtId="0" fontId="1" fillId="12" borderId="10" xfId="0" applyFont="1" applyFill="1" applyBorder="1" applyAlignment="1" applyProtection="1">
      <alignment horizontal="left" vertical="top" wrapText="1"/>
      <protection locked="0"/>
    </xf>
    <xf numFmtId="43" fontId="1" fillId="12" borderId="10" xfId="49" applyFont="1" applyFill="1" applyBorder="1" applyAlignment="1" applyProtection="1">
      <alignment vertical="top" wrapText="1"/>
      <protection locked="0"/>
    </xf>
    <xf numFmtId="2" fontId="36" fillId="12" borderId="10" xfId="0" applyNumberFormat="1" applyFont="1" applyFill="1" applyBorder="1" applyAlignment="1" applyProtection="1">
      <alignment vertical="top" wrapText="1"/>
      <protection locked="0"/>
    </xf>
    <xf numFmtId="43" fontId="1" fillId="12" borderId="10" xfId="49" applyFont="1" applyFill="1" applyBorder="1" applyAlignment="1" applyProtection="1">
      <alignment vertical="top"/>
      <protection/>
    </xf>
    <xf numFmtId="1" fontId="1" fillId="12" borderId="10" xfId="49" applyNumberFormat="1" applyFont="1" applyFill="1" applyBorder="1" applyAlignment="1" applyProtection="1">
      <alignment vertical="top"/>
      <protection/>
    </xf>
    <xf numFmtId="43" fontId="7" fillId="12" borderId="10" xfId="49" applyFont="1" applyFill="1" applyBorder="1" applyAlignment="1" applyProtection="1">
      <alignment vertical="top"/>
      <protection/>
    </xf>
    <xf numFmtId="43" fontId="1" fillId="12" borderId="10" xfId="52" applyFont="1" applyFill="1" applyBorder="1" applyAlignment="1" applyProtection="1">
      <alignment vertical="top" wrapText="1"/>
      <protection locked="0"/>
    </xf>
    <xf numFmtId="1" fontId="1" fillId="12" borderId="10" xfId="52" applyNumberFormat="1" applyFont="1" applyFill="1" applyBorder="1" applyAlignment="1" applyProtection="1">
      <alignment vertical="top"/>
      <protection/>
    </xf>
    <xf numFmtId="43" fontId="7" fillId="12" borderId="10" xfId="52" applyFont="1" applyFill="1" applyBorder="1" applyAlignment="1" applyProtection="1">
      <alignment vertical="top"/>
      <protection/>
    </xf>
    <xf numFmtId="0" fontId="1" fillId="12" borderId="10" xfId="0" applyFont="1" applyFill="1" applyBorder="1" applyAlignment="1" applyProtection="1">
      <alignment vertical="top" wrapText="1"/>
      <protection locked="0"/>
    </xf>
    <xf numFmtId="43" fontId="7" fillId="12" borderId="10" xfId="49" applyFont="1" applyFill="1" applyBorder="1" applyAlignment="1" applyProtection="1">
      <alignment horizontal="center" vertical="top" wrapText="1"/>
      <protection/>
    </xf>
    <xf numFmtId="43" fontId="49" fillId="12" borderId="10" xfId="49" applyFont="1" applyFill="1" applyBorder="1" applyAlignment="1" applyProtection="1">
      <alignment horizontal="center" vertical="top" wrapText="1"/>
      <protection/>
    </xf>
    <xf numFmtId="43" fontId="7" fillId="12" borderId="10" xfId="52" applyFont="1" applyFill="1" applyBorder="1" applyAlignment="1" applyProtection="1">
      <alignment horizontal="center" vertical="top" wrapText="1"/>
      <protection/>
    </xf>
    <xf numFmtId="15" fontId="1" fillId="12" borderId="57" xfId="0" applyNumberFormat="1" applyFont="1" applyFill="1" applyBorder="1" applyAlignment="1" applyProtection="1" quotePrefix="1">
      <alignment horizontal="center" vertical="top"/>
      <protection locked="0"/>
    </xf>
    <xf numFmtId="0" fontId="1" fillId="12" borderId="10" xfId="62" applyFont="1" applyFill="1" applyBorder="1" applyAlignment="1" applyProtection="1">
      <alignment horizontal="left" vertical="top" wrapText="1"/>
      <protection locked="0"/>
    </xf>
    <xf numFmtId="0" fontId="1" fillId="12" borderId="10" xfId="62" applyFont="1" applyFill="1" applyBorder="1" applyAlignment="1" applyProtection="1">
      <alignment horizontal="center" vertical="top" wrapText="1"/>
      <protection locked="0"/>
    </xf>
    <xf numFmtId="15" fontId="1" fillId="12" borderId="10" xfId="0" applyNumberFormat="1" applyFont="1" applyFill="1" applyBorder="1" applyAlignment="1" applyProtection="1" quotePrefix="1">
      <alignment horizontal="center" vertical="top"/>
      <protection locked="0"/>
    </xf>
    <xf numFmtId="0" fontId="1" fillId="12" borderId="10" xfId="61" applyFont="1" applyFill="1" applyBorder="1" applyAlignment="1" applyProtection="1">
      <alignment horizontal="center" vertical="top" wrapText="1"/>
      <protection locked="0"/>
    </xf>
    <xf numFmtId="43" fontId="1" fillId="12" borderId="10" xfId="56" applyFont="1" applyFill="1" applyBorder="1" applyAlignment="1" applyProtection="1">
      <alignment vertical="top" wrapText="1"/>
      <protection locked="0"/>
    </xf>
    <xf numFmtId="2" fontId="1" fillId="12" borderId="10" xfId="0" applyNumberFormat="1" applyFont="1" applyFill="1" applyBorder="1" applyAlignment="1" applyProtection="1">
      <alignment horizontal="center" vertical="top" wrapText="1"/>
      <protection locked="0"/>
    </xf>
    <xf numFmtId="43" fontId="1" fillId="12" borderId="10" xfId="56" applyFont="1" applyFill="1" applyBorder="1" applyAlignment="1" applyProtection="1">
      <alignment vertical="top"/>
      <protection locked="0"/>
    </xf>
    <xf numFmtId="43" fontId="7" fillId="12" borderId="10" xfId="0" applyNumberFormat="1" applyFont="1" applyFill="1" applyBorder="1" applyAlignment="1" applyProtection="1">
      <alignment vertical="top"/>
      <protection/>
    </xf>
    <xf numFmtId="173" fontId="7" fillId="12" borderId="10" xfId="0" applyNumberFormat="1" applyFont="1" applyFill="1" applyBorder="1" applyAlignment="1" applyProtection="1">
      <alignment horizontal="center" vertical="top"/>
      <protection/>
    </xf>
    <xf numFmtId="43" fontId="7" fillId="12" borderId="10" xfId="56" applyFont="1" applyFill="1" applyBorder="1" applyAlignment="1" applyProtection="1">
      <alignment vertical="top"/>
      <protection/>
    </xf>
    <xf numFmtId="49" fontId="36" fillId="0" borderId="10" xfId="52" applyNumberFormat="1" applyFont="1" applyFill="1" applyBorder="1" applyAlignment="1" applyProtection="1">
      <alignment horizontal="center" vertical="top" wrapText="1"/>
      <protection locked="0"/>
    </xf>
    <xf numFmtId="43" fontId="123" fillId="0" borderId="0" xfId="0" applyNumberFormat="1" applyFont="1" applyAlignment="1">
      <alignment/>
    </xf>
    <xf numFmtId="43" fontId="123" fillId="0" borderId="0" xfId="0" applyNumberFormat="1" applyFont="1" applyBorder="1" applyAlignment="1">
      <alignment/>
    </xf>
    <xf numFmtId="43" fontId="123" fillId="0" borderId="39" xfId="0" applyNumberFormat="1" applyFont="1" applyBorder="1" applyAlignment="1">
      <alignment/>
    </xf>
    <xf numFmtId="43" fontId="123" fillId="0" borderId="59" xfId="0" applyNumberFormat="1" applyFont="1" applyBorder="1" applyAlignment="1">
      <alignment/>
    </xf>
    <xf numFmtId="0" fontId="4" fillId="13" borderId="49" xfId="0" applyFont="1" applyFill="1" applyBorder="1" applyAlignment="1">
      <alignment horizontal="left" indent="8"/>
    </xf>
    <xf numFmtId="0" fontId="4" fillId="13" borderId="47" xfId="0" applyFont="1" applyFill="1" applyBorder="1" applyAlignment="1">
      <alignment horizontal="left" vertical="center" indent="10"/>
    </xf>
    <xf numFmtId="0" fontId="20" fillId="0" borderId="0" xfId="0" applyFont="1" applyFill="1" applyBorder="1" applyAlignment="1">
      <alignment horizontal="left" indent="7"/>
    </xf>
    <xf numFmtId="0" fontId="20" fillId="0" borderId="0" xfId="0" applyFont="1" applyFill="1" applyBorder="1" applyAlignment="1">
      <alignment horizontal="left" indent="9"/>
    </xf>
    <xf numFmtId="0" fontId="20" fillId="0" borderId="0" xfId="0" applyFont="1" applyFill="1" applyBorder="1" applyAlignment="1">
      <alignment horizontal="left" indent="8"/>
    </xf>
    <xf numFmtId="0" fontId="123" fillId="0" borderId="0" xfId="0" applyFont="1" applyBorder="1" applyAlignment="1" applyProtection="1">
      <alignment horizontal="right"/>
      <protection locked="0"/>
    </xf>
    <xf numFmtId="0" fontId="53" fillId="14" borderId="50" xfId="0" applyFont="1" applyFill="1" applyBorder="1" applyAlignment="1" applyProtection="1">
      <alignment horizontal="left" vertical="top" indent="13"/>
      <protection locked="0"/>
    </xf>
    <xf numFmtId="0" fontId="53" fillId="14" borderId="42" xfId="0" applyFont="1" applyFill="1" applyBorder="1" applyAlignment="1" applyProtection="1">
      <alignment horizontal="left" vertical="top" indent="13"/>
      <protection locked="0"/>
    </xf>
    <xf numFmtId="0" fontId="53" fillId="14" borderId="60" xfId="0" applyFont="1" applyFill="1" applyBorder="1" applyAlignment="1" applyProtection="1">
      <alignment horizontal="left" vertical="top" indent="13"/>
      <protection locked="0"/>
    </xf>
    <xf numFmtId="0" fontId="4" fillId="0" borderId="0" xfId="0" applyFont="1" applyBorder="1" applyAlignment="1">
      <alignment horizontal="left" indent="8"/>
    </xf>
    <xf numFmtId="0" fontId="17" fillId="0" borderId="0" xfId="0" applyFont="1" applyBorder="1" applyAlignment="1">
      <alignment horizontal="center"/>
    </xf>
    <xf numFmtId="0" fontId="42" fillId="0" borderId="0" xfId="61" applyFont="1" applyFill="1" applyBorder="1" applyAlignment="1">
      <alignment horizontal="center"/>
      <protection/>
    </xf>
    <xf numFmtId="0" fontId="42" fillId="0" borderId="11" xfId="61" applyFont="1" applyFill="1" applyBorder="1" applyAlignment="1">
      <alignment horizontal="center"/>
      <protection/>
    </xf>
    <xf numFmtId="0" fontId="116" fillId="0" borderId="0" xfId="0" applyFont="1" applyBorder="1" applyAlignment="1" applyProtection="1">
      <alignment horizontal="right"/>
      <protection locked="0"/>
    </xf>
    <xf numFmtId="0" fontId="20" fillId="0" borderId="0" xfId="61" applyFont="1" applyFill="1" applyBorder="1" applyAlignment="1">
      <alignment horizontal="center"/>
      <protection/>
    </xf>
    <xf numFmtId="0" fontId="20" fillId="0" borderId="11" xfId="61" applyFont="1" applyFill="1" applyBorder="1" applyAlignment="1">
      <alignment horizontal="center"/>
      <protection/>
    </xf>
    <xf numFmtId="0" fontId="124" fillId="35" borderId="50" xfId="61" applyFont="1" applyFill="1" applyBorder="1" applyAlignment="1" applyProtection="1">
      <alignment horizontal="center" vertical="top"/>
      <protection locked="0"/>
    </xf>
    <xf numFmtId="0" fontId="124" fillId="35" borderId="42" xfId="61" applyFont="1" applyFill="1" applyBorder="1" applyAlignment="1" applyProtection="1">
      <alignment horizontal="center" vertical="top"/>
      <protection locked="0"/>
    </xf>
    <xf numFmtId="0" fontId="124" fillId="35" borderId="60" xfId="61" applyFont="1" applyFill="1" applyBorder="1" applyAlignment="1" applyProtection="1">
      <alignment horizontal="center" vertical="top"/>
      <protection locked="0"/>
    </xf>
    <xf numFmtId="0" fontId="24" fillId="0" borderId="0" xfId="61" applyFont="1" applyFill="1" applyBorder="1" applyAlignment="1" applyProtection="1">
      <alignment horizontal="center"/>
      <protection locked="0"/>
    </xf>
    <xf numFmtId="0" fontId="24" fillId="0" borderId="11" xfId="61" applyFont="1" applyFill="1" applyBorder="1" applyAlignment="1" applyProtection="1">
      <alignment horizontal="center"/>
      <protection locked="0"/>
    </xf>
    <xf numFmtId="0" fontId="25" fillId="0" borderId="0" xfId="61" applyFont="1" applyFill="1" applyBorder="1" applyAlignment="1">
      <alignment horizontal="center"/>
      <protection/>
    </xf>
    <xf numFmtId="0" fontId="25" fillId="0" borderId="11" xfId="61" applyFont="1" applyFill="1" applyBorder="1" applyAlignment="1">
      <alignment horizontal="center"/>
      <protection/>
    </xf>
    <xf numFmtId="0" fontId="124" fillId="14" borderId="61" xfId="61" applyFont="1" applyFill="1" applyBorder="1" applyAlignment="1" applyProtection="1">
      <alignment horizontal="center" vertical="top"/>
      <protection locked="0"/>
    </xf>
    <xf numFmtId="0" fontId="124" fillId="14" borderId="62" xfId="61" applyFont="1" applyFill="1" applyBorder="1" applyAlignment="1" applyProtection="1">
      <alignment horizontal="center" vertical="top"/>
      <protection locked="0"/>
    </xf>
    <xf numFmtId="0" fontId="124" fillId="14" borderId="63" xfId="61" applyFont="1" applyFill="1" applyBorder="1" applyAlignment="1" applyProtection="1">
      <alignment horizontal="center" vertical="top"/>
      <protection locked="0"/>
    </xf>
    <xf numFmtId="0" fontId="20" fillId="0" borderId="0" xfId="61" applyFont="1" applyFill="1" applyBorder="1" applyAlignment="1">
      <alignment horizontal="left" vertical="center"/>
      <protection/>
    </xf>
    <xf numFmtId="0" fontId="20" fillId="0" borderId="11" xfId="61" applyFont="1" applyFill="1" applyBorder="1" applyAlignment="1">
      <alignment horizontal="left" vertical="center"/>
      <protection/>
    </xf>
    <xf numFmtId="0" fontId="20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/>
    </xf>
    <xf numFmtId="0" fontId="124" fillId="14" borderId="61" xfId="0" applyFont="1" applyFill="1" applyBorder="1" applyAlignment="1" applyProtection="1">
      <alignment horizontal="center" vertical="top"/>
      <protection locked="0"/>
    </xf>
    <xf numFmtId="0" fontId="124" fillId="14" borderId="62" xfId="0" applyFont="1" applyFill="1" applyBorder="1" applyAlignment="1" applyProtection="1">
      <alignment horizontal="center" vertical="top"/>
      <protection locked="0"/>
    </xf>
    <xf numFmtId="0" fontId="124" fillId="14" borderId="63" xfId="0" applyFont="1" applyFill="1" applyBorder="1" applyAlignment="1" applyProtection="1">
      <alignment horizontal="center" vertical="top"/>
      <protection locked="0"/>
    </xf>
    <xf numFmtId="0" fontId="17" fillId="0" borderId="0" xfId="61" applyFont="1" applyFill="1" applyBorder="1" applyAlignment="1">
      <alignment horizontal="center"/>
      <protection/>
    </xf>
    <xf numFmtId="0" fontId="17" fillId="0" borderId="11" xfId="61" applyFont="1" applyFill="1" applyBorder="1" applyAlignment="1">
      <alignment horizontal="center"/>
      <protection/>
    </xf>
    <xf numFmtId="0" fontId="124" fillId="8" borderId="20" xfId="61" applyFont="1" applyFill="1" applyBorder="1" applyAlignment="1" applyProtection="1">
      <alignment horizontal="center" vertical="top"/>
      <protection locked="0"/>
    </xf>
    <xf numFmtId="0" fontId="124" fillId="8" borderId="34" xfId="61" applyFont="1" applyFill="1" applyBorder="1" applyAlignment="1" applyProtection="1">
      <alignment horizontal="center" vertical="top"/>
      <protection locked="0"/>
    </xf>
    <xf numFmtId="0" fontId="124" fillId="8" borderId="35" xfId="61" applyFont="1" applyFill="1" applyBorder="1" applyAlignment="1" applyProtection="1">
      <alignment horizontal="center" vertical="top"/>
      <protection locked="0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4" xfId="54"/>
    <cellStyle name="Millares 5" xfId="55"/>
    <cellStyle name="Millares 5 2" xfId="56"/>
    <cellStyle name="Millares 6" xfId="57"/>
    <cellStyle name="Currency" xfId="58"/>
    <cellStyle name="Currency [0]" xfId="59"/>
    <cellStyle name="Neutral" xfId="60"/>
    <cellStyle name="Normal 15" xfId="61"/>
    <cellStyle name="Normal 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3</xdr:col>
      <xdr:colOff>304800</xdr:colOff>
      <xdr:row>4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52189" t="35667" r="34509" b="40652"/>
        <a:stretch>
          <a:fillRect/>
        </a:stretch>
      </xdr:blipFill>
      <xdr:spPr>
        <a:xfrm>
          <a:off x="95250" y="57150"/>
          <a:ext cx="1800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1744325" y="866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85725</xdr:rowOff>
    </xdr:from>
    <xdr:to>
      <xdr:col>3</xdr:col>
      <xdr:colOff>314325</xdr:colOff>
      <xdr:row>3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52189" t="35667" r="34509" b="40652"/>
        <a:stretch>
          <a:fillRect/>
        </a:stretch>
      </xdr:blipFill>
      <xdr:spPr>
        <a:xfrm>
          <a:off x="123825" y="85725"/>
          <a:ext cx="1485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639675" y="866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0</xdr:row>
      <xdr:rowOff>38100</xdr:rowOff>
    </xdr:from>
    <xdr:to>
      <xdr:col>3</xdr:col>
      <xdr:colOff>342900</xdr:colOff>
      <xdr:row>3</xdr:row>
      <xdr:rowOff>95250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52189" t="35667" r="34509" b="40652"/>
        <a:stretch>
          <a:fillRect/>
        </a:stretch>
      </xdr:blipFill>
      <xdr:spPr>
        <a:xfrm>
          <a:off x="200025" y="38100"/>
          <a:ext cx="1476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744450" y="866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85725</xdr:rowOff>
    </xdr:from>
    <xdr:to>
      <xdr:col>3</xdr:col>
      <xdr:colOff>209550</xdr:colOff>
      <xdr:row>3</xdr:row>
      <xdr:rowOff>95250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52189" t="35667" r="34509" b="40652"/>
        <a:stretch>
          <a:fillRect/>
        </a:stretch>
      </xdr:blipFill>
      <xdr:spPr>
        <a:xfrm>
          <a:off x="38100" y="85725"/>
          <a:ext cx="1457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2344400" y="1028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1</xdr:row>
      <xdr:rowOff>47625</xdr:rowOff>
    </xdr:from>
    <xdr:to>
      <xdr:col>3</xdr:col>
      <xdr:colOff>247650</xdr:colOff>
      <xdr:row>4</xdr:row>
      <xdr:rowOff>57150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rcRect l="52189" t="35667" r="34509" b="40652"/>
        <a:stretch>
          <a:fillRect/>
        </a:stretch>
      </xdr:blipFill>
      <xdr:spPr>
        <a:xfrm>
          <a:off x="247650" y="209550"/>
          <a:ext cx="1352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P1150"/>
  <sheetViews>
    <sheetView tabSelected="1" zoomScale="106" zoomScaleNormal="106" zoomScalePageLayoutView="0" workbookViewId="0" topLeftCell="A1078">
      <selection activeCell="D1078" sqref="D1078"/>
    </sheetView>
  </sheetViews>
  <sheetFormatPr defaultColWidth="11.421875" defaultRowHeight="12.75"/>
  <cols>
    <col min="1" max="1" width="2.7109375" style="0" customWidth="1"/>
    <col min="2" max="2" width="9.7109375" style="0" customWidth="1"/>
    <col min="5" max="5" width="19.421875" style="0" customWidth="1"/>
    <col min="6" max="6" width="27.140625" style="0" customWidth="1"/>
    <col min="7" max="7" width="21.57421875" style="0" customWidth="1"/>
    <col min="8" max="8" width="16.421875" style="0" customWidth="1"/>
    <col min="9" max="9" width="16.28125" style="0" customWidth="1"/>
    <col min="10" max="10" width="7.140625" style="0" customWidth="1"/>
    <col min="11" max="11" width="13.140625" style="0" customWidth="1"/>
    <col min="12" max="12" width="6.8515625" style="482" customWidth="1"/>
    <col min="13" max="13" width="12.57421875" style="482" customWidth="1"/>
    <col min="14" max="14" width="7.57421875" style="0" customWidth="1"/>
    <col min="15" max="15" width="15.00390625" style="0" customWidth="1"/>
    <col min="16" max="16" width="10.00390625" style="0" customWidth="1"/>
  </cols>
  <sheetData>
    <row r="1" ht="12.75"/>
    <row r="2" spans="3:15" ht="26.25">
      <c r="C2" s="255" t="s">
        <v>3715</v>
      </c>
      <c r="D2" s="257"/>
      <c r="E2" s="257"/>
      <c r="F2" s="257"/>
      <c r="G2" s="257"/>
      <c r="H2" s="222"/>
      <c r="I2" s="222"/>
      <c r="J2" s="222"/>
      <c r="K2" s="222"/>
      <c r="L2" s="473"/>
      <c r="M2" s="473"/>
      <c r="N2" s="222"/>
      <c r="O2" s="222"/>
    </row>
    <row r="3" spans="3:15" ht="20.25">
      <c r="C3" s="252" t="s">
        <v>3714</v>
      </c>
      <c r="D3" s="258"/>
      <c r="E3" s="258"/>
      <c r="F3" s="258"/>
      <c r="G3" s="258"/>
      <c r="H3" s="258"/>
      <c r="I3" s="258"/>
      <c r="J3" s="258"/>
      <c r="K3" s="258"/>
      <c r="L3" s="474"/>
      <c r="M3" s="474"/>
      <c r="N3" s="258"/>
      <c r="O3" s="223"/>
    </row>
    <row r="4" spans="3:15" ht="18">
      <c r="C4" s="249" t="s">
        <v>3716</v>
      </c>
      <c r="D4" s="384"/>
      <c r="E4" s="384"/>
      <c r="F4" s="384"/>
      <c r="G4" s="384"/>
      <c r="H4" s="384"/>
      <c r="I4" s="384"/>
      <c r="J4" s="384"/>
      <c r="K4" s="384"/>
      <c r="L4" s="475"/>
      <c r="M4" s="475"/>
      <c r="N4" s="384"/>
      <c r="O4" s="384"/>
    </row>
    <row r="5" ht="12.75"/>
    <row r="7" spans="2:16" ht="38.25">
      <c r="B7" s="464" t="s">
        <v>43</v>
      </c>
      <c r="C7" s="463" t="s">
        <v>512</v>
      </c>
      <c r="D7" s="488" t="s">
        <v>1940</v>
      </c>
      <c r="E7" s="465" t="s">
        <v>44</v>
      </c>
      <c r="F7" s="488" t="s">
        <v>45</v>
      </c>
      <c r="G7" s="463" t="s">
        <v>3646</v>
      </c>
      <c r="H7" s="276" t="s">
        <v>1941</v>
      </c>
      <c r="I7" s="472" t="s">
        <v>54</v>
      </c>
      <c r="J7" s="472" t="s">
        <v>55</v>
      </c>
      <c r="K7" s="472" t="s">
        <v>3739</v>
      </c>
      <c r="L7" s="492" t="s">
        <v>57</v>
      </c>
      <c r="M7" s="491" t="s">
        <v>3740</v>
      </c>
      <c r="N7" s="487" t="s">
        <v>59</v>
      </c>
      <c r="O7" s="487" t="s">
        <v>60</v>
      </c>
      <c r="P7" s="487" t="s">
        <v>61</v>
      </c>
    </row>
    <row r="8" spans="2:16" ht="39.75" customHeight="1">
      <c r="B8" s="25">
        <v>38400</v>
      </c>
      <c r="C8" s="339" t="s">
        <v>1939</v>
      </c>
      <c r="D8" s="2" t="s">
        <v>1716</v>
      </c>
      <c r="E8" s="26" t="s">
        <v>350</v>
      </c>
      <c r="F8" s="2" t="s">
        <v>63</v>
      </c>
      <c r="G8" s="2" t="s">
        <v>1838</v>
      </c>
      <c r="H8" s="2" t="s">
        <v>437</v>
      </c>
      <c r="I8" s="356">
        <v>863.2</v>
      </c>
      <c r="J8" s="342">
        <v>28.491</v>
      </c>
      <c r="K8" s="357">
        <f>+I8/J8</f>
        <v>30.29728686251799</v>
      </c>
      <c r="L8" s="476">
        <v>60</v>
      </c>
      <c r="M8" s="343">
        <f>+I8/L88</f>
        <v>14.386666666666667</v>
      </c>
      <c r="N8" s="344">
        <f aca="true" ca="1" t="shared" si="0" ref="N8:N71">IF(B8&lt;&gt;0,(ROUND((NOW()-B8)/30,0)),0)</f>
        <v>206</v>
      </c>
      <c r="O8" s="358">
        <v>1</v>
      </c>
      <c r="P8" s="340" t="s">
        <v>348</v>
      </c>
    </row>
    <row r="9" spans="2:16" ht="39.75" customHeight="1">
      <c r="B9" s="25">
        <v>38400</v>
      </c>
      <c r="C9" s="339" t="s">
        <v>1939</v>
      </c>
      <c r="D9" s="2" t="s">
        <v>1717</v>
      </c>
      <c r="E9" s="26" t="s">
        <v>350</v>
      </c>
      <c r="F9" s="2" t="s">
        <v>63</v>
      </c>
      <c r="G9" s="2" t="s">
        <v>1838</v>
      </c>
      <c r="H9" s="2" t="s">
        <v>437</v>
      </c>
      <c r="I9" s="356">
        <v>863.2</v>
      </c>
      <c r="J9" s="342">
        <v>28.491</v>
      </c>
      <c r="K9" s="357">
        <f aca="true" t="shared" si="1" ref="K9:K72">+I9/J9</f>
        <v>30.29728686251799</v>
      </c>
      <c r="L9" s="476">
        <v>60</v>
      </c>
      <c r="M9" s="343">
        <f aca="true" t="shared" si="2" ref="M9:M72">+I9/L89</f>
        <v>14.386666666666667</v>
      </c>
      <c r="N9" s="344">
        <f ca="1" t="shared" si="0"/>
        <v>206</v>
      </c>
      <c r="O9" s="358">
        <v>1</v>
      </c>
      <c r="P9" s="340" t="s">
        <v>348</v>
      </c>
    </row>
    <row r="10" spans="2:16" ht="39.75" customHeight="1">
      <c r="B10" s="25">
        <v>38400</v>
      </c>
      <c r="C10" s="339" t="s">
        <v>1939</v>
      </c>
      <c r="D10" s="2" t="s">
        <v>1718</v>
      </c>
      <c r="E10" s="26" t="s">
        <v>350</v>
      </c>
      <c r="F10" s="2" t="s">
        <v>63</v>
      </c>
      <c r="G10" s="2" t="s">
        <v>1838</v>
      </c>
      <c r="H10" s="2" t="s">
        <v>437</v>
      </c>
      <c r="I10" s="356">
        <v>863.2</v>
      </c>
      <c r="J10" s="342">
        <v>28.491</v>
      </c>
      <c r="K10" s="357">
        <f t="shared" si="1"/>
        <v>30.29728686251799</v>
      </c>
      <c r="L10" s="476">
        <v>60</v>
      </c>
      <c r="M10" s="343">
        <f t="shared" si="2"/>
        <v>14.386666666666667</v>
      </c>
      <c r="N10" s="344">
        <f ca="1" t="shared" si="0"/>
        <v>206</v>
      </c>
      <c r="O10" s="358">
        <v>1</v>
      </c>
      <c r="P10" s="340" t="s">
        <v>348</v>
      </c>
    </row>
    <row r="11" spans="2:16" ht="39.75" customHeight="1">
      <c r="B11" s="25">
        <v>38400</v>
      </c>
      <c r="C11" s="339" t="s">
        <v>1939</v>
      </c>
      <c r="D11" s="2" t="s">
        <v>1719</v>
      </c>
      <c r="E11" s="26" t="s">
        <v>350</v>
      </c>
      <c r="F11" s="2" t="s">
        <v>63</v>
      </c>
      <c r="G11" s="2" t="s">
        <v>1838</v>
      </c>
      <c r="H11" s="2" t="s">
        <v>437</v>
      </c>
      <c r="I11" s="356">
        <v>863.2</v>
      </c>
      <c r="J11" s="342">
        <v>28.491</v>
      </c>
      <c r="K11" s="357">
        <f t="shared" si="1"/>
        <v>30.29728686251799</v>
      </c>
      <c r="L11" s="476">
        <v>60</v>
      </c>
      <c r="M11" s="343">
        <f t="shared" si="2"/>
        <v>14.386666666666667</v>
      </c>
      <c r="N11" s="344">
        <f ca="1" t="shared" si="0"/>
        <v>206</v>
      </c>
      <c r="O11" s="358">
        <v>1</v>
      </c>
      <c r="P11" s="340" t="s">
        <v>348</v>
      </c>
    </row>
    <row r="12" spans="2:16" ht="39.75" customHeight="1">
      <c r="B12" s="25">
        <v>38400</v>
      </c>
      <c r="C12" s="339" t="s">
        <v>1939</v>
      </c>
      <c r="D12" s="2" t="s">
        <v>1720</v>
      </c>
      <c r="E12" s="26" t="s">
        <v>350</v>
      </c>
      <c r="F12" s="2" t="s">
        <v>63</v>
      </c>
      <c r="G12" s="2" t="s">
        <v>1838</v>
      </c>
      <c r="H12" s="2" t="s">
        <v>437</v>
      </c>
      <c r="I12" s="356">
        <v>863.2</v>
      </c>
      <c r="J12" s="342">
        <v>28.491</v>
      </c>
      <c r="K12" s="357">
        <f t="shared" si="1"/>
        <v>30.29728686251799</v>
      </c>
      <c r="L12" s="476">
        <v>60</v>
      </c>
      <c r="M12" s="343">
        <f t="shared" si="2"/>
        <v>14.386666666666667</v>
      </c>
      <c r="N12" s="344">
        <f ca="1" t="shared" si="0"/>
        <v>206</v>
      </c>
      <c r="O12" s="358">
        <v>1</v>
      </c>
      <c r="P12" s="340" t="s">
        <v>348</v>
      </c>
    </row>
    <row r="13" spans="2:16" ht="39.75" customHeight="1">
      <c r="B13" s="25">
        <v>38400</v>
      </c>
      <c r="C13" s="339" t="s">
        <v>1939</v>
      </c>
      <c r="D13" s="2" t="s">
        <v>1723</v>
      </c>
      <c r="E13" s="26" t="s">
        <v>353</v>
      </c>
      <c r="F13" s="2" t="s">
        <v>63</v>
      </c>
      <c r="G13" s="2" t="s">
        <v>1838</v>
      </c>
      <c r="H13" s="2" t="s">
        <v>437</v>
      </c>
      <c r="I13" s="356">
        <v>2785.6</v>
      </c>
      <c r="J13" s="342">
        <v>28.491</v>
      </c>
      <c r="K13" s="357">
        <f t="shared" si="1"/>
        <v>97.77122600119336</v>
      </c>
      <c r="L13" s="476">
        <v>60</v>
      </c>
      <c r="M13" s="343">
        <f t="shared" si="2"/>
        <v>46.42666666666666</v>
      </c>
      <c r="N13" s="344">
        <f ca="1" t="shared" si="0"/>
        <v>206</v>
      </c>
      <c r="O13" s="358">
        <v>1</v>
      </c>
      <c r="P13" s="340" t="s">
        <v>348</v>
      </c>
    </row>
    <row r="14" spans="2:16" ht="39.75" customHeight="1">
      <c r="B14" s="25">
        <v>38400</v>
      </c>
      <c r="C14" s="339" t="s">
        <v>1939</v>
      </c>
      <c r="D14" s="2" t="s">
        <v>1724</v>
      </c>
      <c r="E14" s="26" t="s">
        <v>353</v>
      </c>
      <c r="F14" s="2" t="s">
        <v>63</v>
      </c>
      <c r="G14" s="2" t="s">
        <v>1838</v>
      </c>
      <c r="H14" s="2" t="s">
        <v>437</v>
      </c>
      <c r="I14" s="356">
        <v>2785.6</v>
      </c>
      <c r="J14" s="342">
        <v>28.491</v>
      </c>
      <c r="K14" s="357">
        <f t="shared" si="1"/>
        <v>97.77122600119336</v>
      </c>
      <c r="L14" s="476">
        <v>60</v>
      </c>
      <c r="M14" s="343">
        <f t="shared" si="2"/>
        <v>46.42666666666666</v>
      </c>
      <c r="N14" s="344">
        <f ca="1" t="shared" si="0"/>
        <v>206</v>
      </c>
      <c r="O14" s="358">
        <v>1</v>
      </c>
      <c r="P14" s="340" t="s">
        <v>348</v>
      </c>
    </row>
    <row r="15" spans="2:16" ht="39.75" customHeight="1">
      <c r="B15" s="25">
        <v>38400</v>
      </c>
      <c r="C15" s="339" t="s">
        <v>1939</v>
      </c>
      <c r="D15" s="2" t="s">
        <v>1725</v>
      </c>
      <c r="E15" s="26" t="s">
        <v>353</v>
      </c>
      <c r="F15" s="2" t="s">
        <v>63</v>
      </c>
      <c r="G15" s="2" t="s">
        <v>1838</v>
      </c>
      <c r="H15" s="2" t="s">
        <v>437</v>
      </c>
      <c r="I15" s="356">
        <v>2785.6</v>
      </c>
      <c r="J15" s="342">
        <v>28.491</v>
      </c>
      <c r="K15" s="357">
        <f t="shared" si="1"/>
        <v>97.77122600119336</v>
      </c>
      <c r="L15" s="476">
        <v>60</v>
      </c>
      <c r="M15" s="343">
        <f t="shared" si="2"/>
        <v>46.42666666666666</v>
      </c>
      <c r="N15" s="344">
        <f ca="1" t="shared" si="0"/>
        <v>206</v>
      </c>
      <c r="O15" s="358">
        <v>1</v>
      </c>
      <c r="P15" s="340" t="s">
        <v>348</v>
      </c>
    </row>
    <row r="16" spans="2:16" ht="39.75" customHeight="1">
      <c r="B16" s="25">
        <v>38400</v>
      </c>
      <c r="C16" s="339" t="s">
        <v>1939</v>
      </c>
      <c r="D16" s="2" t="s">
        <v>1729</v>
      </c>
      <c r="E16" s="26" t="s">
        <v>353</v>
      </c>
      <c r="F16" s="2" t="s">
        <v>63</v>
      </c>
      <c r="G16" s="2" t="s">
        <v>1838</v>
      </c>
      <c r="H16" s="2" t="s">
        <v>437</v>
      </c>
      <c r="I16" s="356">
        <v>2785.6</v>
      </c>
      <c r="J16" s="342">
        <v>28.491</v>
      </c>
      <c r="K16" s="357">
        <f t="shared" si="1"/>
        <v>97.77122600119336</v>
      </c>
      <c r="L16" s="476">
        <v>60</v>
      </c>
      <c r="M16" s="343">
        <f t="shared" si="2"/>
        <v>46.42666666666666</v>
      </c>
      <c r="N16" s="344">
        <f ca="1" t="shared" si="0"/>
        <v>206</v>
      </c>
      <c r="O16" s="358">
        <v>1</v>
      </c>
      <c r="P16" s="340" t="s">
        <v>348</v>
      </c>
    </row>
    <row r="17" spans="2:16" ht="39.75" customHeight="1">
      <c r="B17" s="25">
        <v>38400</v>
      </c>
      <c r="C17" s="339" t="s">
        <v>1939</v>
      </c>
      <c r="D17" s="2" t="s">
        <v>1731</v>
      </c>
      <c r="E17" s="26" t="s">
        <v>809</v>
      </c>
      <c r="F17" s="2" t="s">
        <v>63</v>
      </c>
      <c r="G17" s="2" t="s">
        <v>1838</v>
      </c>
      <c r="H17" s="2" t="s">
        <v>437</v>
      </c>
      <c r="I17" s="356">
        <v>15494.4</v>
      </c>
      <c r="J17" s="342">
        <v>28.491</v>
      </c>
      <c r="K17" s="357">
        <f t="shared" si="1"/>
        <v>543.8348952300727</v>
      </c>
      <c r="L17" s="476">
        <v>60</v>
      </c>
      <c r="M17" s="343">
        <f t="shared" si="2"/>
        <v>258.24</v>
      </c>
      <c r="N17" s="344">
        <f ca="1" t="shared" si="0"/>
        <v>206</v>
      </c>
      <c r="O17" s="358">
        <v>1</v>
      </c>
      <c r="P17" s="340" t="s">
        <v>348</v>
      </c>
    </row>
    <row r="18" spans="2:16" ht="39.75" customHeight="1">
      <c r="B18" s="25">
        <v>38400</v>
      </c>
      <c r="C18" s="339" t="s">
        <v>1939</v>
      </c>
      <c r="D18" s="2" t="s">
        <v>1733</v>
      </c>
      <c r="E18" s="26" t="s">
        <v>810</v>
      </c>
      <c r="F18" s="2" t="s">
        <v>63</v>
      </c>
      <c r="G18" s="2" t="s">
        <v>1838</v>
      </c>
      <c r="H18" s="2" t="s">
        <v>437</v>
      </c>
      <c r="I18" s="356">
        <v>5771.2</v>
      </c>
      <c r="J18" s="342">
        <v>28.491</v>
      </c>
      <c r="K18" s="357">
        <f t="shared" si="1"/>
        <v>202.56221262854936</v>
      </c>
      <c r="L18" s="476">
        <v>60</v>
      </c>
      <c r="M18" s="343">
        <f t="shared" si="2"/>
        <v>96.18666666666667</v>
      </c>
      <c r="N18" s="344">
        <f ca="1" t="shared" si="0"/>
        <v>206</v>
      </c>
      <c r="O18" s="358">
        <v>1</v>
      </c>
      <c r="P18" s="340" t="s">
        <v>348</v>
      </c>
    </row>
    <row r="19" spans="2:16" ht="39.75" customHeight="1">
      <c r="B19" s="25">
        <v>38400</v>
      </c>
      <c r="C19" s="339" t="s">
        <v>1939</v>
      </c>
      <c r="D19" s="2" t="s">
        <v>1734</v>
      </c>
      <c r="E19" s="26" t="s">
        <v>810</v>
      </c>
      <c r="F19" s="2" t="s">
        <v>63</v>
      </c>
      <c r="G19" s="2" t="s">
        <v>1838</v>
      </c>
      <c r="H19" s="2" t="s">
        <v>437</v>
      </c>
      <c r="I19" s="356">
        <v>5771.2</v>
      </c>
      <c r="J19" s="342">
        <v>28.491</v>
      </c>
      <c r="K19" s="357">
        <f t="shared" si="1"/>
        <v>202.56221262854936</v>
      </c>
      <c r="L19" s="476">
        <v>60</v>
      </c>
      <c r="M19" s="343">
        <f t="shared" si="2"/>
        <v>96.18666666666667</v>
      </c>
      <c r="N19" s="344">
        <f ca="1" t="shared" si="0"/>
        <v>206</v>
      </c>
      <c r="O19" s="358">
        <v>1</v>
      </c>
      <c r="P19" s="340" t="s">
        <v>348</v>
      </c>
    </row>
    <row r="20" spans="2:16" ht="39.75" customHeight="1">
      <c r="B20" s="25">
        <v>38400</v>
      </c>
      <c r="C20" s="339" t="s">
        <v>1939</v>
      </c>
      <c r="D20" s="2" t="s">
        <v>1735</v>
      </c>
      <c r="E20" s="26" t="s">
        <v>810</v>
      </c>
      <c r="F20" s="2" t="s">
        <v>63</v>
      </c>
      <c r="G20" s="2" t="s">
        <v>1838</v>
      </c>
      <c r="H20" s="2" t="s">
        <v>437</v>
      </c>
      <c r="I20" s="356">
        <v>5771.2</v>
      </c>
      <c r="J20" s="342">
        <v>28.491</v>
      </c>
      <c r="K20" s="357">
        <f t="shared" si="1"/>
        <v>202.56221262854936</v>
      </c>
      <c r="L20" s="476">
        <v>60</v>
      </c>
      <c r="M20" s="343">
        <f t="shared" si="2"/>
        <v>96.18666666666667</v>
      </c>
      <c r="N20" s="344">
        <f ca="1" t="shared" si="0"/>
        <v>206</v>
      </c>
      <c r="O20" s="358">
        <v>1</v>
      </c>
      <c r="P20" s="340" t="s">
        <v>348</v>
      </c>
    </row>
    <row r="21" spans="2:16" ht="39.75" customHeight="1">
      <c r="B21" s="25">
        <v>38400</v>
      </c>
      <c r="C21" s="339" t="s">
        <v>1939</v>
      </c>
      <c r="D21" s="2" t="s">
        <v>1736</v>
      </c>
      <c r="E21" s="26" t="s">
        <v>810</v>
      </c>
      <c r="F21" s="2" t="s">
        <v>63</v>
      </c>
      <c r="G21" s="2" t="s">
        <v>1838</v>
      </c>
      <c r="H21" s="2" t="s">
        <v>437</v>
      </c>
      <c r="I21" s="356">
        <v>5771.2</v>
      </c>
      <c r="J21" s="342">
        <v>28.491</v>
      </c>
      <c r="K21" s="357">
        <f t="shared" si="1"/>
        <v>202.56221262854936</v>
      </c>
      <c r="L21" s="476">
        <v>60</v>
      </c>
      <c r="M21" s="343">
        <f t="shared" si="2"/>
        <v>96.18666666666667</v>
      </c>
      <c r="N21" s="344">
        <f ca="1" t="shared" si="0"/>
        <v>206</v>
      </c>
      <c r="O21" s="358">
        <v>1</v>
      </c>
      <c r="P21" s="340" t="s">
        <v>348</v>
      </c>
    </row>
    <row r="22" spans="2:16" ht="39.75" customHeight="1">
      <c r="B22" s="25">
        <v>38400</v>
      </c>
      <c r="C22" s="339" t="s">
        <v>1939</v>
      </c>
      <c r="D22" s="2" t="s">
        <v>1737</v>
      </c>
      <c r="E22" s="26" t="s">
        <v>810</v>
      </c>
      <c r="F22" s="2" t="s">
        <v>63</v>
      </c>
      <c r="G22" s="2" t="s">
        <v>1838</v>
      </c>
      <c r="H22" s="2" t="s">
        <v>437</v>
      </c>
      <c r="I22" s="356">
        <v>5771.2</v>
      </c>
      <c r="J22" s="342">
        <v>28.491</v>
      </c>
      <c r="K22" s="357">
        <f t="shared" si="1"/>
        <v>202.56221262854936</v>
      </c>
      <c r="L22" s="476">
        <v>60</v>
      </c>
      <c r="M22" s="343">
        <f t="shared" si="2"/>
        <v>96.18666666666667</v>
      </c>
      <c r="N22" s="344">
        <f ca="1" t="shared" si="0"/>
        <v>206</v>
      </c>
      <c r="O22" s="358">
        <v>1</v>
      </c>
      <c r="P22" s="340" t="s">
        <v>348</v>
      </c>
    </row>
    <row r="23" spans="2:16" ht="39.75" customHeight="1">
      <c r="B23" s="25">
        <v>38400</v>
      </c>
      <c r="C23" s="339" t="s">
        <v>1939</v>
      </c>
      <c r="D23" s="2" t="s">
        <v>1738</v>
      </c>
      <c r="E23" s="26" t="s">
        <v>811</v>
      </c>
      <c r="F23" s="2" t="s">
        <v>63</v>
      </c>
      <c r="G23" s="2" t="s">
        <v>1838</v>
      </c>
      <c r="H23" s="2" t="s">
        <v>437</v>
      </c>
      <c r="I23" s="356">
        <v>3863.01</v>
      </c>
      <c r="J23" s="342">
        <v>28.491</v>
      </c>
      <c r="K23" s="357">
        <f t="shared" si="1"/>
        <v>135.58702748236286</v>
      </c>
      <c r="L23" s="476">
        <v>60</v>
      </c>
      <c r="M23" s="343">
        <f t="shared" si="2"/>
        <v>64.3835</v>
      </c>
      <c r="N23" s="344">
        <f ca="1" t="shared" si="0"/>
        <v>206</v>
      </c>
      <c r="O23" s="358">
        <v>1</v>
      </c>
      <c r="P23" s="340" t="s">
        <v>348</v>
      </c>
    </row>
    <row r="24" spans="2:16" ht="39.75" customHeight="1">
      <c r="B24" s="25">
        <v>38400</v>
      </c>
      <c r="C24" s="339" t="s">
        <v>1939</v>
      </c>
      <c r="D24" s="2" t="s">
        <v>1739</v>
      </c>
      <c r="E24" s="26" t="s">
        <v>811</v>
      </c>
      <c r="F24" s="2" t="s">
        <v>63</v>
      </c>
      <c r="G24" s="2" t="s">
        <v>1838</v>
      </c>
      <c r="H24" s="2" t="s">
        <v>437</v>
      </c>
      <c r="I24" s="356">
        <v>3863.01</v>
      </c>
      <c r="J24" s="342">
        <v>28.491</v>
      </c>
      <c r="K24" s="357">
        <f t="shared" si="1"/>
        <v>135.58702748236286</v>
      </c>
      <c r="L24" s="476">
        <v>60</v>
      </c>
      <c r="M24" s="343">
        <f t="shared" si="2"/>
        <v>64.3835</v>
      </c>
      <c r="N24" s="344">
        <f ca="1" t="shared" si="0"/>
        <v>206</v>
      </c>
      <c r="O24" s="358">
        <v>1</v>
      </c>
      <c r="P24" s="340" t="s">
        <v>348</v>
      </c>
    </row>
    <row r="25" spans="2:16" ht="39.75" customHeight="1">
      <c r="B25" s="25">
        <v>38400</v>
      </c>
      <c r="C25" s="339" t="s">
        <v>1939</v>
      </c>
      <c r="D25" s="2" t="s">
        <v>1740</v>
      </c>
      <c r="E25" s="26" t="s">
        <v>811</v>
      </c>
      <c r="F25" s="2" t="s">
        <v>63</v>
      </c>
      <c r="G25" s="2" t="s">
        <v>1838</v>
      </c>
      <c r="H25" s="2" t="s">
        <v>437</v>
      </c>
      <c r="I25" s="356">
        <v>3863.01</v>
      </c>
      <c r="J25" s="342">
        <v>28.491</v>
      </c>
      <c r="K25" s="357">
        <f t="shared" si="1"/>
        <v>135.58702748236286</v>
      </c>
      <c r="L25" s="476">
        <v>60</v>
      </c>
      <c r="M25" s="343">
        <f t="shared" si="2"/>
        <v>64.3835</v>
      </c>
      <c r="N25" s="344">
        <f ca="1" t="shared" si="0"/>
        <v>206</v>
      </c>
      <c r="O25" s="358">
        <v>1</v>
      </c>
      <c r="P25" s="340" t="s">
        <v>348</v>
      </c>
    </row>
    <row r="26" spans="2:16" ht="39.75" customHeight="1">
      <c r="B26" s="25">
        <v>38400</v>
      </c>
      <c r="C26" s="339" t="s">
        <v>1939</v>
      </c>
      <c r="D26" s="2" t="s">
        <v>1741</v>
      </c>
      <c r="E26" s="26" t="s">
        <v>811</v>
      </c>
      <c r="F26" s="2" t="s">
        <v>63</v>
      </c>
      <c r="G26" s="2" t="s">
        <v>1838</v>
      </c>
      <c r="H26" s="2" t="s">
        <v>437</v>
      </c>
      <c r="I26" s="356">
        <v>3863.01</v>
      </c>
      <c r="J26" s="342">
        <v>28.491</v>
      </c>
      <c r="K26" s="357">
        <f t="shared" si="1"/>
        <v>135.58702748236286</v>
      </c>
      <c r="L26" s="476">
        <v>60</v>
      </c>
      <c r="M26" s="343">
        <f t="shared" si="2"/>
        <v>64.3835</v>
      </c>
      <c r="N26" s="344">
        <f ca="1" t="shared" si="0"/>
        <v>206</v>
      </c>
      <c r="O26" s="358">
        <v>1</v>
      </c>
      <c r="P26" s="340" t="s">
        <v>348</v>
      </c>
    </row>
    <row r="27" spans="2:16" ht="39.75" customHeight="1">
      <c r="B27" s="25">
        <v>38400</v>
      </c>
      <c r="C27" s="339" t="s">
        <v>1939</v>
      </c>
      <c r="D27" s="2" t="s">
        <v>1755</v>
      </c>
      <c r="E27" s="26" t="s">
        <v>349</v>
      </c>
      <c r="F27" s="2" t="s">
        <v>63</v>
      </c>
      <c r="G27" s="2" t="s">
        <v>1838</v>
      </c>
      <c r="H27" s="2" t="s">
        <v>437</v>
      </c>
      <c r="I27" s="356">
        <v>1717.6</v>
      </c>
      <c r="J27" s="342">
        <v>28.491</v>
      </c>
      <c r="K27" s="357">
        <f t="shared" si="1"/>
        <v>60.28570425748482</v>
      </c>
      <c r="L27" s="476">
        <v>60</v>
      </c>
      <c r="M27" s="343">
        <f t="shared" si="2"/>
        <v>28.626666666666665</v>
      </c>
      <c r="N27" s="344">
        <f ca="1" t="shared" si="0"/>
        <v>206</v>
      </c>
      <c r="O27" s="358">
        <v>1</v>
      </c>
      <c r="P27" s="340" t="s">
        <v>348</v>
      </c>
    </row>
    <row r="28" spans="2:16" ht="39.75" customHeight="1">
      <c r="B28" s="25">
        <v>38400</v>
      </c>
      <c r="C28" s="339" t="s">
        <v>1939</v>
      </c>
      <c r="D28" s="2" t="s">
        <v>1756</v>
      </c>
      <c r="E28" s="26" t="s">
        <v>349</v>
      </c>
      <c r="F28" s="2" t="s">
        <v>63</v>
      </c>
      <c r="G28" s="2" t="s">
        <v>1838</v>
      </c>
      <c r="H28" s="2" t="s">
        <v>437</v>
      </c>
      <c r="I28" s="356">
        <v>1717.6</v>
      </c>
      <c r="J28" s="342">
        <v>28.491</v>
      </c>
      <c r="K28" s="357">
        <f t="shared" si="1"/>
        <v>60.28570425748482</v>
      </c>
      <c r="L28" s="476">
        <v>60</v>
      </c>
      <c r="M28" s="343">
        <f t="shared" si="2"/>
        <v>28.626666666666665</v>
      </c>
      <c r="N28" s="344">
        <f ca="1" t="shared" si="0"/>
        <v>206</v>
      </c>
      <c r="O28" s="358">
        <v>1</v>
      </c>
      <c r="P28" s="340" t="s">
        <v>348</v>
      </c>
    </row>
    <row r="29" spans="2:16" ht="39.75" customHeight="1">
      <c r="B29" s="25">
        <v>38400</v>
      </c>
      <c r="C29" s="339" t="s">
        <v>1939</v>
      </c>
      <c r="D29" s="2" t="s">
        <v>1757</v>
      </c>
      <c r="E29" s="26" t="s">
        <v>349</v>
      </c>
      <c r="F29" s="2" t="s">
        <v>63</v>
      </c>
      <c r="G29" s="2" t="s">
        <v>1838</v>
      </c>
      <c r="H29" s="2" t="s">
        <v>437</v>
      </c>
      <c r="I29" s="356">
        <v>1717.6</v>
      </c>
      <c r="J29" s="342">
        <v>28.491</v>
      </c>
      <c r="K29" s="357">
        <f t="shared" si="1"/>
        <v>60.28570425748482</v>
      </c>
      <c r="L29" s="476">
        <v>60</v>
      </c>
      <c r="M29" s="343">
        <f t="shared" si="2"/>
        <v>28.626666666666665</v>
      </c>
      <c r="N29" s="344">
        <f ca="1" t="shared" si="0"/>
        <v>206</v>
      </c>
      <c r="O29" s="358">
        <v>1</v>
      </c>
      <c r="P29" s="340" t="s">
        <v>348</v>
      </c>
    </row>
    <row r="30" spans="2:16" ht="39.75" customHeight="1">
      <c r="B30" s="25">
        <v>38400</v>
      </c>
      <c r="C30" s="339" t="s">
        <v>1939</v>
      </c>
      <c r="D30" s="2" t="s">
        <v>1758</v>
      </c>
      <c r="E30" s="26" t="s">
        <v>349</v>
      </c>
      <c r="F30" s="2" t="s">
        <v>63</v>
      </c>
      <c r="G30" s="2" t="s">
        <v>1838</v>
      </c>
      <c r="H30" s="2" t="s">
        <v>437</v>
      </c>
      <c r="I30" s="356">
        <v>1717.6</v>
      </c>
      <c r="J30" s="342">
        <v>28.491</v>
      </c>
      <c r="K30" s="357">
        <f t="shared" si="1"/>
        <v>60.28570425748482</v>
      </c>
      <c r="L30" s="476">
        <v>60</v>
      </c>
      <c r="M30" s="343">
        <f t="shared" si="2"/>
        <v>28.626666666666665</v>
      </c>
      <c r="N30" s="344">
        <f ca="1" t="shared" si="0"/>
        <v>206</v>
      </c>
      <c r="O30" s="358">
        <v>1</v>
      </c>
      <c r="P30" s="340" t="s">
        <v>348</v>
      </c>
    </row>
    <row r="31" spans="2:16" ht="39.75" customHeight="1">
      <c r="B31" s="25">
        <v>38400</v>
      </c>
      <c r="C31" s="339" t="s">
        <v>1939</v>
      </c>
      <c r="D31" s="2" t="s">
        <v>1722</v>
      </c>
      <c r="E31" s="26" t="s">
        <v>350</v>
      </c>
      <c r="F31" s="2" t="s">
        <v>63</v>
      </c>
      <c r="G31" s="2" t="s">
        <v>1834</v>
      </c>
      <c r="H31" s="2" t="s">
        <v>437</v>
      </c>
      <c r="I31" s="356">
        <v>863.2</v>
      </c>
      <c r="J31" s="342">
        <v>28.491</v>
      </c>
      <c r="K31" s="357">
        <f t="shared" si="1"/>
        <v>30.29728686251799</v>
      </c>
      <c r="L31" s="476">
        <v>60</v>
      </c>
      <c r="M31" s="343">
        <f t="shared" si="2"/>
        <v>14.386666666666667</v>
      </c>
      <c r="N31" s="344">
        <f ca="1" t="shared" si="0"/>
        <v>206</v>
      </c>
      <c r="O31" s="358">
        <v>1</v>
      </c>
      <c r="P31" s="340" t="s">
        <v>348</v>
      </c>
    </row>
    <row r="32" spans="2:16" ht="39.75" customHeight="1">
      <c r="B32" s="25">
        <v>38400</v>
      </c>
      <c r="C32" s="339" t="s">
        <v>1939</v>
      </c>
      <c r="D32" s="2" t="s">
        <v>1728</v>
      </c>
      <c r="E32" s="26" t="s">
        <v>353</v>
      </c>
      <c r="F32" s="2" t="s">
        <v>63</v>
      </c>
      <c r="G32" s="2" t="s">
        <v>1834</v>
      </c>
      <c r="H32" s="2" t="s">
        <v>437</v>
      </c>
      <c r="I32" s="356">
        <v>2785.6</v>
      </c>
      <c r="J32" s="342">
        <v>28.491</v>
      </c>
      <c r="K32" s="357">
        <f t="shared" si="1"/>
        <v>97.77122600119336</v>
      </c>
      <c r="L32" s="476">
        <v>60</v>
      </c>
      <c r="M32" s="343">
        <f t="shared" si="2"/>
        <v>46.42666666666666</v>
      </c>
      <c r="N32" s="344">
        <f ca="1" t="shared" si="0"/>
        <v>206</v>
      </c>
      <c r="O32" s="358">
        <v>1</v>
      </c>
      <c r="P32" s="340" t="s">
        <v>348</v>
      </c>
    </row>
    <row r="33" spans="2:16" ht="39.75" customHeight="1">
      <c r="B33" s="25">
        <v>38400</v>
      </c>
      <c r="C33" s="339" t="s">
        <v>1939</v>
      </c>
      <c r="D33" s="2" t="s">
        <v>1730</v>
      </c>
      <c r="E33" s="26" t="s">
        <v>353</v>
      </c>
      <c r="F33" s="2" t="s">
        <v>63</v>
      </c>
      <c r="G33" s="2" t="s">
        <v>1834</v>
      </c>
      <c r="H33" s="2" t="s">
        <v>437</v>
      </c>
      <c r="I33" s="356">
        <v>2785.6</v>
      </c>
      <c r="J33" s="342">
        <v>28.491</v>
      </c>
      <c r="K33" s="357">
        <f t="shared" si="1"/>
        <v>97.77122600119336</v>
      </c>
      <c r="L33" s="476">
        <v>60</v>
      </c>
      <c r="M33" s="343">
        <f t="shared" si="2"/>
        <v>46.42666666666666</v>
      </c>
      <c r="N33" s="344">
        <f ca="1" t="shared" si="0"/>
        <v>206</v>
      </c>
      <c r="O33" s="358">
        <v>1</v>
      </c>
      <c r="P33" s="340" t="s">
        <v>348</v>
      </c>
    </row>
    <row r="34" spans="2:16" ht="39.75" customHeight="1">
      <c r="B34" s="25">
        <v>38400</v>
      </c>
      <c r="C34" s="339" t="s">
        <v>1939</v>
      </c>
      <c r="D34" s="2" t="s">
        <v>1732</v>
      </c>
      <c r="E34" s="26" t="s">
        <v>808</v>
      </c>
      <c r="F34" s="2" t="s">
        <v>63</v>
      </c>
      <c r="G34" s="2" t="s">
        <v>1834</v>
      </c>
      <c r="H34" s="2" t="s">
        <v>437</v>
      </c>
      <c r="I34" s="356">
        <v>20313.600000000002</v>
      </c>
      <c r="J34" s="342">
        <v>28.491</v>
      </c>
      <c r="K34" s="357">
        <f t="shared" si="1"/>
        <v>712.983047278088</v>
      </c>
      <c r="L34" s="476">
        <v>60</v>
      </c>
      <c r="M34" s="343">
        <f t="shared" si="2"/>
        <v>338.56000000000006</v>
      </c>
      <c r="N34" s="344">
        <f ca="1" t="shared" si="0"/>
        <v>206</v>
      </c>
      <c r="O34" s="358">
        <v>1</v>
      </c>
      <c r="P34" s="340" t="s">
        <v>348</v>
      </c>
    </row>
    <row r="35" spans="2:16" ht="39.75" customHeight="1">
      <c r="B35" s="25">
        <v>38400</v>
      </c>
      <c r="C35" s="339" t="s">
        <v>1939</v>
      </c>
      <c r="D35" s="2" t="s">
        <v>1721</v>
      </c>
      <c r="E35" s="26" t="s">
        <v>351</v>
      </c>
      <c r="F35" s="2" t="s">
        <v>63</v>
      </c>
      <c r="G35" s="2" t="s">
        <v>1834</v>
      </c>
      <c r="H35" s="2" t="s">
        <v>437</v>
      </c>
      <c r="I35" s="356">
        <v>509.6</v>
      </c>
      <c r="J35" s="342">
        <v>28.491</v>
      </c>
      <c r="K35" s="357">
        <f t="shared" si="1"/>
        <v>17.886350075462428</v>
      </c>
      <c r="L35" s="476">
        <v>60</v>
      </c>
      <c r="M35" s="343">
        <f t="shared" si="2"/>
        <v>8.493333333333334</v>
      </c>
      <c r="N35" s="344">
        <f ca="1" t="shared" si="0"/>
        <v>206</v>
      </c>
      <c r="O35" s="358">
        <v>1</v>
      </c>
      <c r="P35" s="340" t="s">
        <v>348</v>
      </c>
    </row>
    <row r="36" spans="2:16" ht="39.75" customHeight="1">
      <c r="B36" s="25">
        <v>38400</v>
      </c>
      <c r="C36" s="339" t="s">
        <v>1939</v>
      </c>
      <c r="D36" s="2" t="s">
        <v>1722</v>
      </c>
      <c r="E36" s="26" t="s">
        <v>351</v>
      </c>
      <c r="F36" s="2" t="s">
        <v>63</v>
      </c>
      <c r="G36" s="2" t="s">
        <v>1834</v>
      </c>
      <c r="H36" s="2" t="s">
        <v>437</v>
      </c>
      <c r="I36" s="356">
        <v>509.6</v>
      </c>
      <c r="J36" s="342">
        <v>28.491</v>
      </c>
      <c r="K36" s="357">
        <f t="shared" si="1"/>
        <v>17.886350075462428</v>
      </c>
      <c r="L36" s="476">
        <v>60</v>
      </c>
      <c r="M36" s="343">
        <f t="shared" si="2"/>
        <v>8.493333333333334</v>
      </c>
      <c r="N36" s="344">
        <f ca="1" t="shared" si="0"/>
        <v>206</v>
      </c>
      <c r="O36" s="358">
        <v>1</v>
      </c>
      <c r="P36" s="340" t="s">
        <v>348</v>
      </c>
    </row>
    <row r="37" spans="2:16" ht="39.75" customHeight="1">
      <c r="B37" s="25">
        <v>38400</v>
      </c>
      <c r="C37" s="339" t="s">
        <v>1939</v>
      </c>
      <c r="D37" s="2" t="s">
        <v>1742</v>
      </c>
      <c r="E37" s="26" t="s">
        <v>811</v>
      </c>
      <c r="F37" s="2" t="s">
        <v>63</v>
      </c>
      <c r="G37" s="2" t="s">
        <v>1834</v>
      </c>
      <c r="H37" s="2" t="s">
        <v>437</v>
      </c>
      <c r="I37" s="356">
        <v>3863.01</v>
      </c>
      <c r="J37" s="342">
        <v>28.491</v>
      </c>
      <c r="K37" s="357">
        <f t="shared" si="1"/>
        <v>135.58702748236286</v>
      </c>
      <c r="L37" s="476">
        <v>60</v>
      </c>
      <c r="M37" s="343">
        <f t="shared" si="2"/>
        <v>64.3835</v>
      </c>
      <c r="N37" s="344">
        <f ca="1" t="shared" si="0"/>
        <v>206</v>
      </c>
      <c r="O37" s="358">
        <v>1</v>
      </c>
      <c r="P37" s="340" t="s">
        <v>348</v>
      </c>
    </row>
    <row r="38" spans="2:16" ht="39.75" customHeight="1">
      <c r="B38" s="25">
        <v>38400</v>
      </c>
      <c r="C38" s="339" t="s">
        <v>1939</v>
      </c>
      <c r="D38" s="2" t="s">
        <v>1743</v>
      </c>
      <c r="E38" s="26" t="s">
        <v>811</v>
      </c>
      <c r="F38" s="2" t="s">
        <v>63</v>
      </c>
      <c r="G38" s="2" t="s">
        <v>1834</v>
      </c>
      <c r="H38" s="2" t="s">
        <v>437</v>
      </c>
      <c r="I38" s="356">
        <v>3863.01</v>
      </c>
      <c r="J38" s="342">
        <v>28.491</v>
      </c>
      <c r="K38" s="357">
        <f t="shared" si="1"/>
        <v>135.58702748236286</v>
      </c>
      <c r="L38" s="476">
        <v>60</v>
      </c>
      <c r="M38" s="343">
        <f t="shared" si="2"/>
        <v>64.3835</v>
      </c>
      <c r="N38" s="344">
        <f ca="1" t="shared" si="0"/>
        <v>206</v>
      </c>
      <c r="O38" s="358">
        <v>1</v>
      </c>
      <c r="P38" s="340" t="s">
        <v>348</v>
      </c>
    </row>
    <row r="39" spans="2:16" ht="39.75" customHeight="1">
      <c r="B39" s="25">
        <v>38400</v>
      </c>
      <c r="C39" s="339" t="s">
        <v>1939</v>
      </c>
      <c r="D39" s="2" t="s">
        <v>1744</v>
      </c>
      <c r="E39" s="26" t="s">
        <v>811</v>
      </c>
      <c r="F39" s="2" t="s">
        <v>63</v>
      </c>
      <c r="G39" s="2" t="s">
        <v>1834</v>
      </c>
      <c r="H39" s="2" t="s">
        <v>437</v>
      </c>
      <c r="I39" s="356">
        <v>3863.01</v>
      </c>
      <c r="J39" s="342">
        <v>28.491</v>
      </c>
      <c r="K39" s="357">
        <f t="shared" si="1"/>
        <v>135.58702748236286</v>
      </c>
      <c r="L39" s="476">
        <v>60</v>
      </c>
      <c r="M39" s="343">
        <f t="shared" si="2"/>
        <v>64.3835</v>
      </c>
      <c r="N39" s="344">
        <f ca="1" t="shared" si="0"/>
        <v>206</v>
      </c>
      <c r="O39" s="358">
        <v>1</v>
      </c>
      <c r="P39" s="340" t="s">
        <v>348</v>
      </c>
    </row>
    <row r="40" spans="2:16" ht="39.75" customHeight="1">
      <c r="B40" s="25">
        <v>38400</v>
      </c>
      <c r="C40" s="339" t="s">
        <v>1939</v>
      </c>
      <c r="D40" s="2" t="s">
        <v>1745</v>
      </c>
      <c r="E40" s="26" t="s">
        <v>811</v>
      </c>
      <c r="F40" s="2" t="s">
        <v>63</v>
      </c>
      <c r="G40" s="2" t="s">
        <v>1834</v>
      </c>
      <c r="H40" s="2" t="s">
        <v>437</v>
      </c>
      <c r="I40" s="356">
        <v>3863.01</v>
      </c>
      <c r="J40" s="342">
        <v>28.491</v>
      </c>
      <c r="K40" s="357">
        <f t="shared" si="1"/>
        <v>135.58702748236286</v>
      </c>
      <c r="L40" s="476">
        <v>60</v>
      </c>
      <c r="M40" s="343">
        <f t="shared" si="2"/>
        <v>64.3835</v>
      </c>
      <c r="N40" s="344">
        <f ca="1" t="shared" si="0"/>
        <v>206</v>
      </c>
      <c r="O40" s="358">
        <v>1</v>
      </c>
      <c r="P40" s="340" t="s">
        <v>348</v>
      </c>
    </row>
    <row r="41" spans="2:16" ht="39.75" customHeight="1">
      <c r="B41" s="25">
        <v>38400</v>
      </c>
      <c r="C41" s="339" t="s">
        <v>1939</v>
      </c>
      <c r="D41" s="2" t="s">
        <v>1746</v>
      </c>
      <c r="E41" s="26" t="s">
        <v>811</v>
      </c>
      <c r="F41" s="2" t="s">
        <v>63</v>
      </c>
      <c r="G41" s="2" t="s">
        <v>1834</v>
      </c>
      <c r="H41" s="2" t="s">
        <v>437</v>
      </c>
      <c r="I41" s="356">
        <v>3863.01</v>
      </c>
      <c r="J41" s="342">
        <v>28.491</v>
      </c>
      <c r="K41" s="357">
        <f t="shared" si="1"/>
        <v>135.58702748236286</v>
      </c>
      <c r="L41" s="476">
        <v>60</v>
      </c>
      <c r="M41" s="343">
        <f t="shared" si="2"/>
        <v>64.3835</v>
      </c>
      <c r="N41" s="344">
        <f ca="1" t="shared" si="0"/>
        <v>206</v>
      </c>
      <c r="O41" s="358">
        <v>1</v>
      </c>
      <c r="P41" s="340" t="s">
        <v>348</v>
      </c>
    </row>
    <row r="42" spans="2:16" ht="39.75" customHeight="1">
      <c r="B42" s="25">
        <v>38400</v>
      </c>
      <c r="C42" s="339" t="s">
        <v>1939</v>
      </c>
      <c r="D42" s="2" t="s">
        <v>1747</v>
      </c>
      <c r="E42" s="26" t="s">
        <v>811</v>
      </c>
      <c r="F42" s="2" t="s">
        <v>63</v>
      </c>
      <c r="G42" s="2" t="s">
        <v>1834</v>
      </c>
      <c r="H42" s="2" t="s">
        <v>437</v>
      </c>
      <c r="I42" s="356">
        <v>3863.01</v>
      </c>
      <c r="J42" s="342">
        <v>28.491</v>
      </c>
      <c r="K42" s="357">
        <f t="shared" si="1"/>
        <v>135.58702748236286</v>
      </c>
      <c r="L42" s="476">
        <v>60</v>
      </c>
      <c r="M42" s="343">
        <f t="shared" si="2"/>
        <v>64.3835</v>
      </c>
      <c r="N42" s="344">
        <f ca="1" t="shared" si="0"/>
        <v>206</v>
      </c>
      <c r="O42" s="358">
        <v>1</v>
      </c>
      <c r="P42" s="340" t="s">
        <v>348</v>
      </c>
    </row>
    <row r="43" spans="2:16" ht="39.75" customHeight="1">
      <c r="B43" s="25">
        <v>38400</v>
      </c>
      <c r="C43" s="339" t="s">
        <v>1939</v>
      </c>
      <c r="D43" s="2" t="s">
        <v>1748</v>
      </c>
      <c r="E43" s="26" t="s">
        <v>811</v>
      </c>
      <c r="F43" s="2" t="s">
        <v>63</v>
      </c>
      <c r="G43" s="2" t="s">
        <v>1834</v>
      </c>
      <c r="H43" s="2" t="s">
        <v>437</v>
      </c>
      <c r="I43" s="356">
        <v>3863.01</v>
      </c>
      <c r="J43" s="342">
        <v>28.491</v>
      </c>
      <c r="K43" s="357">
        <f t="shared" si="1"/>
        <v>135.58702748236286</v>
      </c>
      <c r="L43" s="476">
        <v>60</v>
      </c>
      <c r="M43" s="343">
        <f t="shared" si="2"/>
        <v>64.3835</v>
      </c>
      <c r="N43" s="344">
        <f ca="1" t="shared" si="0"/>
        <v>206</v>
      </c>
      <c r="O43" s="358">
        <v>1</v>
      </c>
      <c r="P43" s="340" t="s">
        <v>348</v>
      </c>
    </row>
    <row r="44" spans="2:16" ht="39.75" customHeight="1">
      <c r="B44" s="25">
        <v>38400</v>
      </c>
      <c r="C44" s="339" t="s">
        <v>1939</v>
      </c>
      <c r="D44" s="2" t="s">
        <v>1749</v>
      </c>
      <c r="E44" s="26" t="s">
        <v>811</v>
      </c>
      <c r="F44" s="2" t="s">
        <v>63</v>
      </c>
      <c r="G44" s="2" t="s">
        <v>1834</v>
      </c>
      <c r="H44" s="2" t="s">
        <v>437</v>
      </c>
      <c r="I44" s="356">
        <v>3863.01</v>
      </c>
      <c r="J44" s="342">
        <v>28.491</v>
      </c>
      <c r="K44" s="357">
        <f t="shared" si="1"/>
        <v>135.58702748236286</v>
      </c>
      <c r="L44" s="476">
        <v>60</v>
      </c>
      <c r="M44" s="343">
        <f t="shared" si="2"/>
        <v>64.3835</v>
      </c>
      <c r="N44" s="344">
        <f ca="1" t="shared" si="0"/>
        <v>206</v>
      </c>
      <c r="O44" s="358">
        <v>1</v>
      </c>
      <c r="P44" s="340" t="s">
        <v>348</v>
      </c>
    </row>
    <row r="45" spans="2:16" ht="39.75" customHeight="1">
      <c r="B45" s="25">
        <v>38400</v>
      </c>
      <c r="C45" s="339" t="s">
        <v>1939</v>
      </c>
      <c r="D45" s="2" t="s">
        <v>1750</v>
      </c>
      <c r="E45" s="26" t="s">
        <v>811</v>
      </c>
      <c r="F45" s="2" t="s">
        <v>63</v>
      </c>
      <c r="G45" s="2" t="s">
        <v>1834</v>
      </c>
      <c r="H45" s="2" t="s">
        <v>437</v>
      </c>
      <c r="I45" s="356">
        <v>3863.01</v>
      </c>
      <c r="J45" s="342">
        <v>28.491</v>
      </c>
      <c r="K45" s="357">
        <f t="shared" si="1"/>
        <v>135.58702748236286</v>
      </c>
      <c r="L45" s="476">
        <v>60</v>
      </c>
      <c r="M45" s="343">
        <f t="shared" si="2"/>
        <v>64.3835</v>
      </c>
      <c r="N45" s="344">
        <f ca="1" t="shared" si="0"/>
        <v>206</v>
      </c>
      <c r="O45" s="358">
        <v>1</v>
      </c>
      <c r="P45" s="340" t="s">
        <v>348</v>
      </c>
    </row>
    <row r="46" spans="2:16" ht="39.75" customHeight="1">
      <c r="B46" s="25">
        <v>38400</v>
      </c>
      <c r="C46" s="339" t="s">
        <v>1939</v>
      </c>
      <c r="D46" s="2" t="s">
        <v>1751</v>
      </c>
      <c r="E46" s="26" t="s">
        <v>811</v>
      </c>
      <c r="F46" s="2" t="s">
        <v>63</v>
      </c>
      <c r="G46" s="2" t="s">
        <v>1834</v>
      </c>
      <c r="H46" s="2" t="s">
        <v>437</v>
      </c>
      <c r="I46" s="356">
        <v>3863.01</v>
      </c>
      <c r="J46" s="342">
        <v>28.491</v>
      </c>
      <c r="K46" s="357">
        <f t="shared" si="1"/>
        <v>135.58702748236286</v>
      </c>
      <c r="L46" s="476">
        <v>60</v>
      </c>
      <c r="M46" s="343">
        <f t="shared" si="2"/>
        <v>64.3835</v>
      </c>
      <c r="N46" s="344">
        <f ca="1" t="shared" si="0"/>
        <v>206</v>
      </c>
      <c r="O46" s="358">
        <v>1</v>
      </c>
      <c r="P46" s="340" t="s">
        <v>348</v>
      </c>
    </row>
    <row r="47" spans="2:16" ht="39.75" customHeight="1">
      <c r="B47" s="25">
        <v>38400</v>
      </c>
      <c r="C47" s="339" t="s">
        <v>1939</v>
      </c>
      <c r="D47" s="2" t="s">
        <v>1752</v>
      </c>
      <c r="E47" s="26" t="s">
        <v>811</v>
      </c>
      <c r="F47" s="2" t="s">
        <v>63</v>
      </c>
      <c r="G47" s="2" t="s">
        <v>1834</v>
      </c>
      <c r="H47" s="2" t="s">
        <v>437</v>
      </c>
      <c r="I47" s="356">
        <v>3863.01</v>
      </c>
      <c r="J47" s="342">
        <v>28.491</v>
      </c>
      <c r="K47" s="357">
        <f t="shared" si="1"/>
        <v>135.58702748236286</v>
      </c>
      <c r="L47" s="476">
        <v>60</v>
      </c>
      <c r="M47" s="343">
        <f t="shared" si="2"/>
        <v>64.3835</v>
      </c>
      <c r="N47" s="344">
        <f ca="1" t="shared" si="0"/>
        <v>206</v>
      </c>
      <c r="O47" s="358">
        <v>1</v>
      </c>
      <c r="P47" s="340" t="s">
        <v>348</v>
      </c>
    </row>
    <row r="48" spans="2:16" ht="39.75" customHeight="1">
      <c r="B48" s="25">
        <v>38400</v>
      </c>
      <c r="C48" s="339" t="s">
        <v>1939</v>
      </c>
      <c r="D48" s="2" t="s">
        <v>1753</v>
      </c>
      <c r="E48" s="26" t="s">
        <v>811</v>
      </c>
      <c r="F48" s="2" t="s">
        <v>63</v>
      </c>
      <c r="G48" s="2" t="s">
        <v>1834</v>
      </c>
      <c r="H48" s="2" t="s">
        <v>437</v>
      </c>
      <c r="I48" s="356">
        <v>3863.01</v>
      </c>
      <c r="J48" s="342">
        <v>28.491</v>
      </c>
      <c r="K48" s="357">
        <f t="shared" si="1"/>
        <v>135.58702748236286</v>
      </c>
      <c r="L48" s="476">
        <v>60</v>
      </c>
      <c r="M48" s="343">
        <f t="shared" si="2"/>
        <v>64.3835</v>
      </c>
      <c r="N48" s="344">
        <f ca="1" t="shared" si="0"/>
        <v>206</v>
      </c>
      <c r="O48" s="358">
        <v>1</v>
      </c>
      <c r="P48" s="340" t="s">
        <v>348</v>
      </c>
    </row>
    <row r="49" spans="2:16" ht="39.75" customHeight="1">
      <c r="B49" s="25">
        <v>38400</v>
      </c>
      <c r="C49" s="339" t="s">
        <v>1939</v>
      </c>
      <c r="D49" s="2" t="s">
        <v>1759</v>
      </c>
      <c r="E49" s="26" t="s">
        <v>352</v>
      </c>
      <c r="F49" s="2" t="s">
        <v>63</v>
      </c>
      <c r="G49" s="2" t="s">
        <v>1834</v>
      </c>
      <c r="H49" s="2" t="s">
        <v>437</v>
      </c>
      <c r="I49" s="356">
        <v>1100</v>
      </c>
      <c r="J49" s="342">
        <v>28.491</v>
      </c>
      <c r="K49" s="357">
        <f t="shared" si="1"/>
        <v>38.60868344389456</v>
      </c>
      <c r="L49" s="476">
        <v>60</v>
      </c>
      <c r="M49" s="343">
        <f t="shared" si="2"/>
        <v>18.333333333333332</v>
      </c>
      <c r="N49" s="344">
        <f ca="1" t="shared" si="0"/>
        <v>206</v>
      </c>
      <c r="O49" s="358">
        <v>1</v>
      </c>
      <c r="P49" s="340" t="s">
        <v>348</v>
      </c>
    </row>
    <row r="50" spans="2:16" ht="39.75" customHeight="1">
      <c r="B50" s="25">
        <v>38400</v>
      </c>
      <c r="C50" s="339" t="s">
        <v>1939</v>
      </c>
      <c r="D50" s="2" t="s">
        <v>1760</v>
      </c>
      <c r="E50" s="26" t="s">
        <v>352</v>
      </c>
      <c r="F50" s="2" t="s">
        <v>63</v>
      </c>
      <c r="G50" s="2" t="s">
        <v>1834</v>
      </c>
      <c r="H50" s="2" t="s">
        <v>437</v>
      </c>
      <c r="I50" s="356">
        <v>1100</v>
      </c>
      <c r="J50" s="342">
        <v>28.491</v>
      </c>
      <c r="K50" s="357">
        <f t="shared" si="1"/>
        <v>38.60868344389456</v>
      </c>
      <c r="L50" s="476">
        <v>60</v>
      </c>
      <c r="M50" s="343">
        <f t="shared" si="2"/>
        <v>18.333333333333332</v>
      </c>
      <c r="N50" s="344">
        <f ca="1" t="shared" si="0"/>
        <v>206</v>
      </c>
      <c r="O50" s="358">
        <v>1</v>
      </c>
      <c r="P50" s="340" t="s">
        <v>348</v>
      </c>
    </row>
    <row r="51" spans="2:16" ht="39.75" customHeight="1">
      <c r="B51" s="25">
        <v>38400</v>
      </c>
      <c r="C51" s="339" t="s">
        <v>1939</v>
      </c>
      <c r="D51" s="2" t="s">
        <v>1761</v>
      </c>
      <c r="E51" s="26" t="s">
        <v>352</v>
      </c>
      <c r="F51" s="2" t="s">
        <v>63</v>
      </c>
      <c r="G51" s="2" t="s">
        <v>1834</v>
      </c>
      <c r="H51" s="2" t="s">
        <v>437</v>
      </c>
      <c r="I51" s="356">
        <v>1100</v>
      </c>
      <c r="J51" s="342">
        <v>28.491</v>
      </c>
      <c r="K51" s="357">
        <f t="shared" si="1"/>
        <v>38.60868344389456</v>
      </c>
      <c r="L51" s="476">
        <v>60</v>
      </c>
      <c r="M51" s="343">
        <f t="shared" si="2"/>
        <v>18.333333333333332</v>
      </c>
      <c r="N51" s="344">
        <f ca="1" t="shared" si="0"/>
        <v>206</v>
      </c>
      <c r="O51" s="358">
        <v>1</v>
      </c>
      <c r="P51" s="340" t="s">
        <v>348</v>
      </c>
    </row>
    <row r="52" spans="2:16" ht="39.75" customHeight="1">
      <c r="B52" s="25">
        <v>38400</v>
      </c>
      <c r="C52" s="339" t="s">
        <v>1939</v>
      </c>
      <c r="D52" s="2" t="s">
        <v>1761</v>
      </c>
      <c r="E52" s="26" t="s">
        <v>352</v>
      </c>
      <c r="F52" s="2" t="s">
        <v>63</v>
      </c>
      <c r="G52" s="2" t="s">
        <v>1834</v>
      </c>
      <c r="H52" s="2" t="s">
        <v>437</v>
      </c>
      <c r="I52" s="356">
        <v>1100</v>
      </c>
      <c r="J52" s="342">
        <v>28.491</v>
      </c>
      <c r="K52" s="357">
        <f t="shared" si="1"/>
        <v>38.60868344389456</v>
      </c>
      <c r="L52" s="476">
        <v>60</v>
      </c>
      <c r="M52" s="343">
        <f t="shared" si="2"/>
        <v>18.333333333333332</v>
      </c>
      <c r="N52" s="344">
        <f ca="1" t="shared" si="0"/>
        <v>206</v>
      </c>
      <c r="O52" s="358">
        <v>1</v>
      </c>
      <c r="P52" s="340" t="s">
        <v>348</v>
      </c>
    </row>
    <row r="53" spans="2:16" ht="39.75" customHeight="1">
      <c r="B53" s="25">
        <v>38400</v>
      </c>
      <c r="C53" s="339" t="s">
        <v>1939</v>
      </c>
      <c r="D53" s="2" t="s">
        <v>1762</v>
      </c>
      <c r="E53" s="26" t="s">
        <v>352</v>
      </c>
      <c r="F53" s="2" t="s">
        <v>63</v>
      </c>
      <c r="G53" s="2" t="s">
        <v>1834</v>
      </c>
      <c r="H53" s="2" t="s">
        <v>437</v>
      </c>
      <c r="I53" s="356">
        <v>1100</v>
      </c>
      <c r="J53" s="342">
        <v>28.491</v>
      </c>
      <c r="K53" s="357">
        <f t="shared" si="1"/>
        <v>38.60868344389456</v>
      </c>
      <c r="L53" s="476">
        <v>60</v>
      </c>
      <c r="M53" s="343">
        <f t="shared" si="2"/>
        <v>18.333333333333332</v>
      </c>
      <c r="N53" s="344">
        <f ca="1" t="shared" si="0"/>
        <v>206</v>
      </c>
      <c r="O53" s="358">
        <v>1</v>
      </c>
      <c r="P53" s="340" t="s">
        <v>348</v>
      </c>
    </row>
    <row r="54" spans="2:16" ht="39.75" customHeight="1">
      <c r="B54" s="25">
        <v>38400</v>
      </c>
      <c r="C54" s="339" t="s">
        <v>1939</v>
      </c>
      <c r="D54" s="2" t="s">
        <v>1763</v>
      </c>
      <c r="E54" s="26" t="s">
        <v>352</v>
      </c>
      <c r="F54" s="2" t="s">
        <v>63</v>
      </c>
      <c r="G54" s="2" t="s">
        <v>1834</v>
      </c>
      <c r="H54" s="2" t="s">
        <v>437</v>
      </c>
      <c r="I54" s="356">
        <v>1100</v>
      </c>
      <c r="J54" s="342">
        <v>28.491</v>
      </c>
      <c r="K54" s="357">
        <f t="shared" si="1"/>
        <v>38.60868344389456</v>
      </c>
      <c r="L54" s="476">
        <v>60</v>
      </c>
      <c r="M54" s="343">
        <f t="shared" si="2"/>
        <v>18.333333333333332</v>
      </c>
      <c r="N54" s="344">
        <f ca="1" t="shared" si="0"/>
        <v>206</v>
      </c>
      <c r="O54" s="358">
        <v>1</v>
      </c>
      <c r="P54" s="340" t="s">
        <v>348</v>
      </c>
    </row>
    <row r="55" spans="2:16" ht="39.75" customHeight="1">
      <c r="B55" s="25">
        <v>38400</v>
      </c>
      <c r="C55" s="339" t="s">
        <v>1939</v>
      </c>
      <c r="D55" s="2" t="s">
        <v>1764</v>
      </c>
      <c r="E55" s="26" t="s">
        <v>352</v>
      </c>
      <c r="F55" s="2" t="s">
        <v>63</v>
      </c>
      <c r="G55" s="2" t="s">
        <v>1834</v>
      </c>
      <c r="H55" s="2" t="s">
        <v>437</v>
      </c>
      <c r="I55" s="356">
        <v>1100</v>
      </c>
      <c r="J55" s="342">
        <v>28.491</v>
      </c>
      <c r="K55" s="357">
        <f t="shared" si="1"/>
        <v>38.60868344389456</v>
      </c>
      <c r="L55" s="476">
        <v>60</v>
      </c>
      <c r="M55" s="343">
        <f t="shared" si="2"/>
        <v>18.333333333333332</v>
      </c>
      <c r="N55" s="344">
        <f ca="1" t="shared" si="0"/>
        <v>206</v>
      </c>
      <c r="O55" s="358">
        <v>1</v>
      </c>
      <c r="P55" s="340" t="s">
        <v>348</v>
      </c>
    </row>
    <row r="56" spans="2:16" ht="39.75" customHeight="1">
      <c r="B56" s="25">
        <v>38400</v>
      </c>
      <c r="C56" s="339" t="s">
        <v>1939</v>
      </c>
      <c r="D56" s="2" t="s">
        <v>1726</v>
      </c>
      <c r="E56" s="26" t="s">
        <v>353</v>
      </c>
      <c r="F56" s="2" t="s">
        <v>63</v>
      </c>
      <c r="G56" s="2" t="s">
        <v>1839</v>
      </c>
      <c r="H56" s="2" t="s">
        <v>437</v>
      </c>
      <c r="I56" s="356">
        <v>2785.6</v>
      </c>
      <c r="J56" s="342">
        <v>28.491</v>
      </c>
      <c r="K56" s="357">
        <f t="shared" si="1"/>
        <v>97.77122600119336</v>
      </c>
      <c r="L56" s="476">
        <v>60</v>
      </c>
      <c r="M56" s="343">
        <f t="shared" si="2"/>
        <v>46.42666666666666</v>
      </c>
      <c r="N56" s="344">
        <f ca="1" t="shared" si="0"/>
        <v>206</v>
      </c>
      <c r="O56" s="358">
        <v>1</v>
      </c>
      <c r="P56" s="340" t="s">
        <v>348</v>
      </c>
    </row>
    <row r="57" spans="2:16" ht="39.75" customHeight="1">
      <c r="B57" s="25">
        <v>38400</v>
      </c>
      <c r="C57" s="339" t="s">
        <v>1939</v>
      </c>
      <c r="D57" s="2" t="s">
        <v>1727</v>
      </c>
      <c r="E57" s="26" t="s">
        <v>353</v>
      </c>
      <c r="F57" s="2" t="s">
        <v>63</v>
      </c>
      <c r="G57" s="2" t="s">
        <v>1839</v>
      </c>
      <c r="H57" s="2" t="s">
        <v>437</v>
      </c>
      <c r="I57" s="356">
        <v>2785.6</v>
      </c>
      <c r="J57" s="342">
        <v>28.491</v>
      </c>
      <c r="K57" s="357">
        <f t="shared" si="1"/>
        <v>97.77122600119336</v>
      </c>
      <c r="L57" s="476">
        <v>60</v>
      </c>
      <c r="M57" s="343">
        <f t="shared" si="2"/>
        <v>46.42666666666666</v>
      </c>
      <c r="N57" s="344">
        <f ca="1" t="shared" si="0"/>
        <v>206</v>
      </c>
      <c r="O57" s="358">
        <v>1</v>
      </c>
      <c r="P57" s="340" t="s">
        <v>348</v>
      </c>
    </row>
    <row r="58" spans="2:16" ht="39.75" customHeight="1">
      <c r="B58" s="25">
        <v>38400</v>
      </c>
      <c r="C58" s="339" t="s">
        <v>1939</v>
      </c>
      <c r="D58" s="2" t="s">
        <v>1080</v>
      </c>
      <c r="E58" s="26" t="s">
        <v>203</v>
      </c>
      <c r="F58" s="2" t="s">
        <v>63</v>
      </c>
      <c r="G58" s="2" t="s">
        <v>821</v>
      </c>
      <c r="H58" s="2" t="s">
        <v>530</v>
      </c>
      <c r="I58" s="356">
        <v>4173.6</v>
      </c>
      <c r="J58" s="342">
        <v>28.491</v>
      </c>
      <c r="K58" s="357">
        <f t="shared" si="1"/>
        <v>146.48836474676216</v>
      </c>
      <c r="L58" s="476">
        <v>60</v>
      </c>
      <c r="M58" s="343">
        <f t="shared" si="2"/>
        <v>69.56</v>
      </c>
      <c r="N58" s="344">
        <f ca="1" t="shared" si="0"/>
        <v>206</v>
      </c>
      <c r="O58" s="358">
        <v>1</v>
      </c>
      <c r="P58" s="340" t="s">
        <v>348</v>
      </c>
    </row>
    <row r="59" spans="2:16" ht="39.75" customHeight="1">
      <c r="B59" s="25">
        <v>38400</v>
      </c>
      <c r="C59" s="339" t="s">
        <v>1939</v>
      </c>
      <c r="D59" s="2" t="s">
        <v>1081</v>
      </c>
      <c r="E59" s="26" t="s">
        <v>203</v>
      </c>
      <c r="F59" s="2" t="s">
        <v>63</v>
      </c>
      <c r="G59" s="2" t="s">
        <v>821</v>
      </c>
      <c r="H59" s="2" t="s">
        <v>530</v>
      </c>
      <c r="I59" s="356">
        <v>4173.6</v>
      </c>
      <c r="J59" s="342">
        <v>28.491</v>
      </c>
      <c r="K59" s="357">
        <f t="shared" si="1"/>
        <v>146.48836474676216</v>
      </c>
      <c r="L59" s="476">
        <v>60</v>
      </c>
      <c r="M59" s="343">
        <f t="shared" si="2"/>
        <v>69.56</v>
      </c>
      <c r="N59" s="344">
        <f ca="1" t="shared" si="0"/>
        <v>206</v>
      </c>
      <c r="O59" s="358">
        <v>1</v>
      </c>
      <c r="P59" s="340" t="s">
        <v>348</v>
      </c>
    </row>
    <row r="60" spans="2:16" ht="39.75" customHeight="1">
      <c r="B60" s="25">
        <v>38400</v>
      </c>
      <c r="C60" s="339" t="s">
        <v>1939</v>
      </c>
      <c r="D60" s="2" t="s">
        <v>1082</v>
      </c>
      <c r="E60" s="26" t="s">
        <v>203</v>
      </c>
      <c r="F60" s="2" t="s">
        <v>63</v>
      </c>
      <c r="G60" s="2" t="s">
        <v>821</v>
      </c>
      <c r="H60" s="2" t="s">
        <v>530</v>
      </c>
      <c r="I60" s="356">
        <v>4173.6</v>
      </c>
      <c r="J60" s="342">
        <v>28.491</v>
      </c>
      <c r="K60" s="357">
        <f t="shared" si="1"/>
        <v>146.48836474676216</v>
      </c>
      <c r="L60" s="476">
        <v>60</v>
      </c>
      <c r="M60" s="343">
        <f t="shared" si="2"/>
        <v>69.56</v>
      </c>
      <c r="N60" s="344">
        <f ca="1" t="shared" si="0"/>
        <v>206</v>
      </c>
      <c r="O60" s="358">
        <v>1</v>
      </c>
      <c r="P60" s="340" t="s">
        <v>348</v>
      </c>
    </row>
    <row r="61" spans="2:16" ht="39.75" customHeight="1">
      <c r="B61" s="25">
        <v>38400</v>
      </c>
      <c r="C61" s="339" t="s">
        <v>1939</v>
      </c>
      <c r="D61" s="2" t="s">
        <v>1083</v>
      </c>
      <c r="E61" s="26" t="s">
        <v>203</v>
      </c>
      <c r="F61" s="2" t="s">
        <v>63</v>
      </c>
      <c r="G61" s="2" t="s">
        <v>821</v>
      </c>
      <c r="H61" s="2" t="s">
        <v>530</v>
      </c>
      <c r="I61" s="356">
        <v>4173.6</v>
      </c>
      <c r="J61" s="342">
        <v>28.491</v>
      </c>
      <c r="K61" s="357">
        <f t="shared" si="1"/>
        <v>146.48836474676216</v>
      </c>
      <c r="L61" s="476">
        <v>60</v>
      </c>
      <c r="M61" s="343">
        <f t="shared" si="2"/>
        <v>69.56</v>
      </c>
      <c r="N61" s="344">
        <f ca="1" t="shared" si="0"/>
        <v>206</v>
      </c>
      <c r="O61" s="358">
        <v>1</v>
      </c>
      <c r="P61" s="340" t="s">
        <v>348</v>
      </c>
    </row>
    <row r="62" spans="2:16" ht="39.75" customHeight="1">
      <c r="B62" s="25">
        <v>38645</v>
      </c>
      <c r="C62" s="340" t="s">
        <v>160</v>
      </c>
      <c r="D62" s="2" t="s">
        <v>1094</v>
      </c>
      <c r="E62" s="26" t="s">
        <v>161</v>
      </c>
      <c r="F62" s="2" t="s">
        <v>42</v>
      </c>
      <c r="G62" s="2" t="s">
        <v>1826</v>
      </c>
      <c r="H62" s="2" t="s">
        <v>135</v>
      </c>
      <c r="I62" s="201">
        <v>2560</v>
      </c>
      <c r="J62" s="342">
        <v>33.01</v>
      </c>
      <c r="K62" s="357">
        <f t="shared" si="1"/>
        <v>77.55225689185096</v>
      </c>
      <c r="L62" s="477">
        <v>60</v>
      </c>
      <c r="M62" s="343">
        <f t="shared" si="2"/>
        <v>42.666666666666664</v>
      </c>
      <c r="N62" s="344">
        <f ca="1" t="shared" si="0"/>
        <v>197</v>
      </c>
      <c r="O62" s="33">
        <v>1</v>
      </c>
      <c r="P62" s="340" t="s">
        <v>159</v>
      </c>
    </row>
    <row r="63" spans="2:16" ht="39.75" customHeight="1">
      <c r="B63" s="25">
        <v>38650</v>
      </c>
      <c r="C63" s="340" t="s">
        <v>160</v>
      </c>
      <c r="D63" s="2" t="s">
        <v>1095</v>
      </c>
      <c r="E63" s="26" t="s">
        <v>165</v>
      </c>
      <c r="F63" s="2" t="s">
        <v>42</v>
      </c>
      <c r="G63" s="2" t="s">
        <v>1826</v>
      </c>
      <c r="H63" s="2" t="s">
        <v>135</v>
      </c>
      <c r="I63" s="201">
        <v>3519.2</v>
      </c>
      <c r="J63" s="342">
        <v>33.01</v>
      </c>
      <c r="K63" s="357">
        <f t="shared" si="1"/>
        <v>106.61011814601636</v>
      </c>
      <c r="L63" s="477">
        <v>60</v>
      </c>
      <c r="M63" s="343">
        <f t="shared" si="2"/>
        <v>58.65333333333333</v>
      </c>
      <c r="N63" s="344">
        <f ca="1" t="shared" si="0"/>
        <v>197</v>
      </c>
      <c r="O63" s="33">
        <v>1</v>
      </c>
      <c r="P63" s="340" t="s">
        <v>159</v>
      </c>
    </row>
    <row r="64" spans="2:16" ht="39.75" customHeight="1">
      <c r="B64" s="25">
        <v>38650</v>
      </c>
      <c r="C64" s="340" t="s">
        <v>162</v>
      </c>
      <c r="D64" s="2" t="s">
        <v>1097</v>
      </c>
      <c r="E64" s="26" t="s">
        <v>163</v>
      </c>
      <c r="F64" s="2" t="s">
        <v>42</v>
      </c>
      <c r="G64" s="2" t="s">
        <v>1826</v>
      </c>
      <c r="H64" s="2" t="s">
        <v>135</v>
      </c>
      <c r="I64" s="201">
        <v>4700</v>
      </c>
      <c r="J64" s="342">
        <v>33.01</v>
      </c>
      <c r="K64" s="357">
        <f t="shared" si="1"/>
        <v>142.38109663738263</v>
      </c>
      <c r="L64" s="477">
        <v>60</v>
      </c>
      <c r="M64" s="343">
        <f t="shared" si="2"/>
        <v>78.33333333333333</v>
      </c>
      <c r="N64" s="344">
        <f ca="1" t="shared" si="0"/>
        <v>197</v>
      </c>
      <c r="O64" s="33">
        <v>1</v>
      </c>
      <c r="P64" s="340" t="s">
        <v>164</v>
      </c>
    </row>
    <row r="65" spans="2:16" ht="39.75" customHeight="1">
      <c r="B65" s="25">
        <v>38650</v>
      </c>
      <c r="C65" s="340" t="s">
        <v>162</v>
      </c>
      <c r="D65" s="2" t="s">
        <v>1098</v>
      </c>
      <c r="E65" s="26" t="s">
        <v>163</v>
      </c>
      <c r="F65" s="2" t="s">
        <v>42</v>
      </c>
      <c r="G65" s="2" t="s">
        <v>1826</v>
      </c>
      <c r="H65" s="2" t="s">
        <v>135</v>
      </c>
      <c r="I65" s="201">
        <v>4700</v>
      </c>
      <c r="J65" s="342">
        <v>33.01</v>
      </c>
      <c r="K65" s="357">
        <f t="shared" si="1"/>
        <v>142.38109663738263</v>
      </c>
      <c r="L65" s="477">
        <v>60</v>
      </c>
      <c r="M65" s="343">
        <f t="shared" si="2"/>
        <v>78.33333333333333</v>
      </c>
      <c r="N65" s="344">
        <f ca="1" t="shared" si="0"/>
        <v>197</v>
      </c>
      <c r="O65" s="33">
        <v>1</v>
      </c>
      <c r="P65" s="340" t="s">
        <v>164</v>
      </c>
    </row>
    <row r="66" spans="2:16" ht="39.75" customHeight="1">
      <c r="B66" s="25">
        <v>38652</v>
      </c>
      <c r="C66" s="340" t="s">
        <v>204</v>
      </c>
      <c r="D66" s="2" t="s">
        <v>1790</v>
      </c>
      <c r="E66" s="26" t="s">
        <v>812</v>
      </c>
      <c r="F66" s="2" t="s">
        <v>42</v>
      </c>
      <c r="G66" s="2" t="s">
        <v>553</v>
      </c>
      <c r="H66" s="2" t="s">
        <v>437</v>
      </c>
      <c r="I66" s="356">
        <v>5700</v>
      </c>
      <c r="J66" s="342">
        <v>33.08951584813654</v>
      </c>
      <c r="K66" s="357">
        <f t="shared" si="1"/>
        <v>172.25999999999996</v>
      </c>
      <c r="L66" s="476">
        <v>60</v>
      </c>
      <c r="M66" s="343">
        <f t="shared" si="2"/>
        <v>95</v>
      </c>
      <c r="N66" s="344">
        <f ca="1" t="shared" si="0"/>
        <v>197</v>
      </c>
      <c r="O66" s="358">
        <v>1</v>
      </c>
      <c r="P66" s="340" t="s">
        <v>205</v>
      </c>
    </row>
    <row r="67" spans="1:16" ht="39.75" customHeight="1">
      <c r="A67" s="380"/>
      <c r="B67" s="634">
        <v>38733</v>
      </c>
      <c r="C67" s="627" t="s">
        <v>206</v>
      </c>
      <c r="D67" s="635" t="s">
        <v>1102</v>
      </c>
      <c r="E67" s="636" t="s">
        <v>207</v>
      </c>
      <c r="F67" s="635" t="s">
        <v>3892</v>
      </c>
      <c r="G67" s="635" t="s">
        <v>429</v>
      </c>
      <c r="H67" s="635" t="s">
        <v>437</v>
      </c>
      <c r="I67" s="637">
        <v>887978.72</v>
      </c>
      <c r="J67" s="638">
        <v>34.44999994180604</v>
      </c>
      <c r="K67" s="639">
        <f t="shared" si="1"/>
        <v>25775.869999999995</v>
      </c>
      <c r="L67" s="640">
        <v>60</v>
      </c>
      <c r="M67" s="630">
        <f t="shared" si="2"/>
        <v>14799.645333333332</v>
      </c>
      <c r="N67" s="618">
        <f ca="1" t="shared" si="0"/>
        <v>194</v>
      </c>
      <c r="O67" s="641">
        <v>1</v>
      </c>
      <c r="P67" s="627" t="s">
        <v>208</v>
      </c>
    </row>
    <row r="68" spans="1:16" ht="39.75" customHeight="1">
      <c r="A68" s="380"/>
      <c r="B68" s="634">
        <v>38733</v>
      </c>
      <c r="C68" s="627" t="s">
        <v>206</v>
      </c>
      <c r="D68" s="635" t="s">
        <v>1100</v>
      </c>
      <c r="E68" s="636" t="s">
        <v>209</v>
      </c>
      <c r="F68" s="635" t="s">
        <v>3893</v>
      </c>
      <c r="G68" s="635" t="s">
        <v>824</v>
      </c>
      <c r="H68" s="635" t="s">
        <v>691</v>
      </c>
      <c r="I68" s="637">
        <v>887978.73</v>
      </c>
      <c r="J68" s="638">
        <v>34.44999994180604</v>
      </c>
      <c r="K68" s="639">
        <f t="shared" si="1"/>
        <v>25775.870290275758</v>
      </c>
      <c r="L68" s="640">
        <v>60</v>
      </c>
      <c r="M68" s="630">
        <f t="shared" si="2"/>
        <v>14799.6455</v>
      </c>
      <c r="N68" s="618">
        <f ca="1" t="shared" si="0"/>
        <v>194</v>
      </c>
      <c r="O68" s="641">
        <v>1</v>
      </c>
      <c r="P68" s="627" t="s">
        <v>208</v>
      </c>
    </row>
    <row r="69" spans="1:16" ht="39.75" customHeight="1">
      <c r="A69" s="380"/>
      <c r="B69" s="634">
        <v>38733</v>
      </c>
      <c r="C69" s="627" t="s">
        <v>206</v>
      </c>
      <c r="D69" s="635" t="s">
        <v>1101</v>
      </c>
      <c r="E69" s="636" t="s">
        <v>207</v>
      </c>
      <c r="F69" s="635" t="s">
        <v>3894</v>
      </c>
      <c r="G69" s="635" t="s">
        <v>3647</v>
      </c>
      <c r="H69" s="635" t="s">
        <v>3291</v>
      </c>
      <c r="I69" s="642">
        <v>887978.72</v>
      </c>
      <c r="J69" s="638">
        <v>34.450000329765786</v>
      </c>
      <c r="K69" s="639">
        <f t="shared" si="1"/>
        <v>25775.86970972424</v>
      </c>
      <c r="L69" s="643">
        <v>60</v>
      </c>
      <c r="M69" s="630">
        <f t="shared" si="2"/>
        <v>14799.645333333332</v>
      </c>
      <c r="N69" s="618">
        <f ca="1" t="shared" si="0"/>
        <v>194</v>
      </c>
      <c r="O69" s="644">
        <v>1</v>
      </c>
      <c r="P69" s="627" t="s">
        <v>208</v>
      </c>
    </row>
    <row r="70" spans="2:16" ht="39.75" customHeight="1">
      <c r="B70" s="25">
        <v>38785</v>
      </c>
      <c r="C70" s="340" t="s">
        <v>210</v>
      </c>
      <c r="D70" s="2" t="s">
        <v>1816</v>
      </c>
      <c r="E70" s="26" t="s">
        <v>142</v>
      </c>
      <c r="F70" s="2" t="s">
        <v>42</v>
      </c>
      <c r="G70" s="2" t="s">
        <v>821</v>
      </c>
      <c r="H70" s="2" t="s">
        <v>753</v>
      </c>
      <c r="I70" s="356">
        <v>3445</v>
      </c>
      <c r="J70" s="342">
        <v>32.82</v>
      </c>
      <c r="K70" s="357">
        <f t="shared" si="1"/>
        <v>104.96648385131017</v>
      </c>
      <c r="L70" s="476">
        <v>60</v>
      </c>
      <c r="M70" s="343">
        <f t="shared" si="2"/>
        <v>57.416666666666664</v>
      </c>
      <c r="N70" s="344">
        <f ca="1" t="shared" si="0"/>
        <v>193</v>
      </c>
      <c r="O70" s="358">
        <v>1</v>
      </c>
      <c r="P70" s="340" t="s">
        <v>211</v>
      </c>
    </row>
    <row r="71" spans="2:16" ht="39.75" customHeight="1">
      <c r="B71" s="25">
        <v>38965</v>
      </c>
      <c r="C71" s="340" t="s">
        <v>417</v>
      </c>
      <c r="D71" s="2" t="s">
        <v>1775</v>
      </c>
      <c r="E71" s="26" t="s">
        <v>133</v>
      </c>
      <c r="F71" s="2" t="s">
        <v>155</v>
      </c>
      <c r="G71" s="2" t="s">
        <v>81</v>
      </c>
      <c r="H71" s="2" t="s">
        <v>437</v>
      </c>
      <c r="I71" s="356">
        <v>225703.90200000003</v>
      </c>
      <c r="J71" s="342">
        <v>32.7</v>
      </c>
      <c r="K71" s="357">
        <f t="shared" si="1"/>
        <v>6902.26</v>
      </c>
      <c r="L71" s="476">
        <v>60</v>
      </c>
      <c r="M71" s="343">
        <f t="shared" si="2"/>
        <v>3761.7317000000007</v>
      </c>
      <c r="N71" s="344">
        <f ca="1" t="shared" si="0"/>
        <v>187</v>
      </c>
      <c r="O71" s="358">
        <v>1</v>
      </c>
      <c r="P71" s="340" t="s">
        <v>193</v>
      </c>
    </row>
    <row r="72" spans="2:16" ht="39.75" customHeight="1">
      <c r="B72" s="25">
        <v>38965</v>
      </c>
      <c r="C72" s="340" t="s">
        <v>417</v>
      </c>
      <c r="D72" s="2" t="s">
        <v>1773</v>
      </c>
      <c r="E72" s="26" t="s">
        <v>132</v>
      </c>
      <c r="F72" s="2" t="s">
        <v>156</v>
      </c>
      <c r="G72" s="2" t="s">
        <v>81</v>
      </c>
      <c r="H72" s="2" t="s">
        <v>437</v>
      </c>
      <c r="I72" s="356">
        <v>132678.288</v>
      </c>
      <c r="J72" s="342">
        <v>32.7</v>
      </c>
      <c r="K72" s="357">
        <f t="shared" si="1"/>
        <v>4057.4399999999996</v>
      </c>
      <c r="L72" s="476">
        <v>60</v>
      </c>
      <c r="M72" s="343">
        <f t="shared" si="2"/>
        <v>2211.3048</v>
      </c>
      <c r="N72" s="344">
        <f aca="true" ca="1" t="shared" si="3" ref="N72:N135">IF(B72&lt;&gt;0,(ROUND((NOW()-B72)/30,0)),0)</f>
        <v>187</v>
      </c>
      <c r="O72" s="358">
        <v>1</v>
      </c>
      <c r="P72" s="340" t="s">
        <v>193</v>
      </c>
    </row>
    <row r="73" spans="2:16" ht="39.75" customHeight="1">
      <c r="B73" s="25">
        <v>38965</v>
      </c>
      <c r="C73" s="340" t="s">
        <v>417</v>
      </c>
      <c r="D73" s="2" t="s">
        <v>1774</v>
      </c>
      <c r="E73" s="26" t="s">
        <v>132</v>
      </c>
      <c r="F73" s="2" t="s">
        <v>157</v>
      </c>
      <c r="G73" s="2" t="s">
        <v>81</v>
      </c>
      <c r="H73" s="2" t="s">
        <v>437</v>
      </c>
      <c r="I73" s="356">
        <v>132678.288</v>
      </c>
      <c r="J73" s="342">
        <v>32.7</v>
      </c>
      <c r="K73" s="357">
        <f aca="true" t="shared" si="4" ref="K73:K136">+I73/J73</f>
        <v>4057.4399999999996</v>
      </c>
      <c r="L73" s="476">
        <v>60</v>
      </c>
      <c r="M73" s="343">
        <f aca="true" t="shared" si="5" ref="M73:M136">+I73/L153</f>
        <v>2211.3048</v>
      </c>
      <c r="N73" s="344">
        <f ca="1" t="shared" si="3"/>
        <v>187</v>
      </c>
      <c r="O73" s="358">
        <v>1</v>
      </c>
      <c r="P73" s="340" t="s">
        <v>193</v>
      </c>
    </row>
    <row r="74" spans="2:16" ht="39.75" customHeight="1">
      <c r="B74" s="25">
        <v>38965</v>
      </c>
      <c r="C74" s="340" t="s">
        <v>417</v>
      </c>
      <c r="D74" s="2" t="s">
        <v>1619</v>
      </c>
      <c r="E74" s="26" t="s">
        <v>134</v>
      </c>
      <c r="F74" s="2" t="s">
        <v>131</v>
      </c>
      <c r="G74" s="2" t="s">
        <v>1824</v>
      </c>
      <c r="H74" s="2" t="s">
        <v>143</v>
      </c>
      <c r="I74" s="356">
        <v>52443.279</v>
      </c>
      <c r="J74" s="342">
        <v>32.7</v>
      </c>
      <c r="K74" s="357">
        <f t="shared" si="4"/>
        <v>1603.77</v>
      </c>
      <c r="L74" s="476">
        <v>60</v>
      </c>
      <c r="M74" s="343">
        <f t="shared" si="5"/>
        <v>874.05465</v>
      </c>
      <c r="N74" s="344">
        <f ca="1" t="shared" si="3"/>
        <v>187</v>
      </c>
      <c r="O74" s="358">
        <v>1</v>
      </c>
      <c r="P74" s="340" t="s">
        <v>193</v>
      </c>
    </row>
    <row r="75" spans="1:16" ht="48" customHeight="1">
      <c r="A75" s="380"/>
      <c r="B75" s="634">
        <v>39013</v>
      </c>
      <c r="C75" s="627" t="s">
        <v>418</v>
      </c>
      <c r="D75" s="635" t="s">
        <v>1794</v>
      </c>
      <c r="E75" s="636" t="s">
        <v>479</v>
      </c>
      <c r="F75" s="635" t="s">
        <v>3895</v>
      </c>
      <c r="G75" s="635" t="s">
        <v>429</v>
      </c>
      <c r="H75" s="635" t="s">
        <v>437</v>
      </c>
      <c r="I75" s="637">
        <v>2104482.76</v>
      </c>
      <c r="J75" s="638">
        <v>33.5</v>
      </c>
      <c r="K75" s="639">
        <f t="shared" si="4"/>
        <v>62820.38089552238</v>
      </c>
      <c r="L75" s="640">
        <v>60</v>
      </c>
      <c r="M75" s="630">
        <f t="shared" si="5"/>
        <v>35074.712666666666</v>
      </c>
      <c r="N75" s="618">
        <f ca="1" t="shared" si="3"/>
        <v>185</v>
      </c>
      <c r="O75" s="641">
        <v>1</v>
      </c>
      <c r="P75" s="627" t="s">
        <v>419</v>
      </c>
    </row>
    <row r="76" spans="2:16" ht="39.75" customHeight="1">
      <c r="B76" s="25">
        <v>39051</v>
      </c>
      <c r="C76" s="340" t="s">
        <v>420</v>
      </c>
      <c r="D76" s="2" t="s">
        <v>1776</v>
      </c>
      <c r="E76" s="26" t="s">
        <v>49</v>
      </c>
      <c r="F76" s="2" t="s">
        <v>42</v>
      </c>
      <c r="G76" s="2" t="s">
        <v>2076</v>
      </c>
      <c r="H76" s="2" t="s">
        <v>437</v>
      </c>
      <c r="I76" s="356">
        <v>25979.744</v>
      </c>
      <c r="J76" s="342">
        <v>33.33</v>
      </c>
      <c r="K76" s="357">
        <f t="shared" si="4"/>
        <v>779.4702670267027</v>
      </c>
      <c r="L76" s="476">
        <v>60</v>
      </c>
      <c r="M76" s="343">
        <f t="shared" si="5"/>
        <v>432.9957333333333</v>
      </c>
      <c r="N76" s="344">
        <f ca="1" t="shared" si="3"/>
        <v>184</v>
      </c>
      <c r="O76" s="358">
        <v>1</v>
      </c>
      <c r="P76" s="340" t="s">
        <v>421</v>
      </c>
    </row>
    <row r="77" spans="2:16" ht="39.75" customHeight="1">
      <c r="B77" s="25">
        <v>39051</v>
      </c>
      <c r="C77" s="340" t="s">
        <v>290</v>
      </c>
      <c r="D77" s="2" t="s">
        <v>1381</v>
      </c>
      <c r="E77" s="26" t="s">
        <v>292</v>
      </c>
      <c r="F77" s="2" t="s">
        <v>42</v>
      </c>
      <c r="G77" s="2" t="s">
        <v>1855</v>
      </c>
      <c r="H77" s="2" t="s">
        <v>141</v>
      </c>
      <c r="I77" s="356">
        <v>10789.3</v>
      </c>
      <c r="J77" s="342">
        <v>33.33</v>
      </c>
      <c r="K77" s="357">
        <f t="shared" si="4"/>
        <v>323.7113711371137</v>
      </c>
      <c r="L77" s="476">
        <v>60</v>
      </c>
      <c r="M77" s="343">
        <f t="shared" si="5"/>
        <v>179.82166666666666</v>
      </c>
      <c r="N77" s="344">
        <f ca="1" t="shared" si="3"/>
        <v>184</v>
      </c>
      <c r="O77" s="358">
        <v>1</v>
      </c>
      <c r="P77" s="340" t="s">
        <v>291</v>
      </c>
    </row>
    <row r="78" spans="2:16" ht="39.75" customHeight="1">
      <c r="B78" s="25">
        <v>39051</v>
      </c>
      <c r="C78" s="340" t="s">
        <v>290</v>
      </c>
      <c r="D78" s="2" t="s">
        <v>1382</v>
      </c>
      <c r="E78" s="26" t="s">
        <v>292</v>
      </c>
      <c r="F78" s="2" t="s">
        <v>42</v>
      </c>
      <c r="G78" s="2" t="s">
        <v>1855</v>
      </c>
      <c r="H78" s="2" t="s">
        <v>141</v>
      </c>
      <c r="I78" s="356">
        <v>10789.3</v>
      </c>
      <c r="J78" s="342">
        <v>33.33</v>
      </c>
      <c r="K78" s="357">
        <f t="shared" si="4"/>
        <v>323.7113711371137</v>
      </c>
      <c r="L78" s="476">
        <v>60</v>
      </c>
      <c r="M78" s="343">
        <f t="shared" si="5"/>
        <v>179.82166666666666</v>
      </c>
      <c r="N78" s="344">
        <f ca="1" t="shared" si="3"/>
        <v>184</v>
      </c>
      <c r="O78" s="358">
        <v>1</v>
      </c>
      <c r="P78" s="340" t="s">
        <v>291</v>
      </c>
    </row>
    <row r="79" spans="2:16" ht="39.75" customHeight="1">
      <c r="B79" s="25">
        <v>39051</v>
      </c>
      <c r="C79" s="340" t="s">
        <v>477</v>
      </c>
      <c r="D79" s="2" t="s">
        <v>1521</v>
      </c>
      <c r="E79" s="26" t="s">
        <v>151</v>
      </c>
      <c r="F79" s="2" t="s">
        <v>42</v>
      </c>
      <c r="G79" s="2" t="s">
        <v>1824</v>
      </c>
      <c r="H79" s="2" t="s">
        <v>143</v>
      </c>
      <c r="I79" s="356">
        <v>6643.8</v>
      </c>
      <c r="J79" s="342">
        <v>33.33</v>
      </c>
      <c r="K79" s="357">
        <f t="shared" si="4"/>
        <v>199.33393339333935</v>
      </c>
      <c r="L79" s="476">
        <v>60</v>
      </c>
      <c r="M79" s="343">
        <f t="shared" si="5"/>
        <v>110.73</v>
      </c>
      <c r="N79" s="344">
        <f ca="1" t="shared" si="3"/>
        <v>184</v>
      </c>
      <c r="O79" s="358">
        <v>1</v>
      </c>
      <c r="P79" s="340" t="s">
        <v>348</v>
      </c>
    </row>
    <row r="80" spans="2:16" ht="39.75" customHeight="1">
      <c r="B80" s="25">
        <v>39051</v>
      </c>
      <c r="C80" s="340" t="s">
        <v>477</v>
      </c>
      <c r="D80" s="2" t="s">
        <v>1522</v>
      </c>
      <c r="E80" s="26" t="s">
        <v>151</v>
      </c>
      <c r="F80" s="2" t="s">
        <v>42</v>
      </c>
      <c r="G80" s="2" t="s">
        <v>1824</v>
      </c>
      <c r="H80" s="2" t="s">
        <v>143</v>
      </c>
      <c r="I80" s="356">
        <v>6643.8</v>
      </c>
      <c r="J80" s="342">
        <v>33.33</v>
      </c>
      <c r="K80" s="357">
        <f t="shared" si="4"/>
        <v>199.33393339333935</v>
      </c>
      <c r="L80" s="476">
        <v>60</v>
      </c>
      <c r="M80" s="343">
        <f t="shared" si="5"/>
        <v>110.73</v>
      </c>
      <c r="N80" s="344">
        <f ca="1" t="shared" si="3"/>
        <v>184</v>
      </c>
      <c r="O80" s="358">
        <v>1</v>
      </c>
      <c r="P80" s="340" t="s">
        <v>348</v>
      </c>
    </row>
    <row r="81" spans="2:16" ht="39.75" customHeight="1">
      <c r="B81" s="25">
        <v>39051</v>
      </c>
      <c r="C81" s="340" t="s">
        <v>477</v>
      </c>
      <c r="D81" s="2" t="s">
        <v>1523</v>
      </c>
      <c r="E81" s="26" t="s">
        <v>151</v>
      </c>
      <c r="F81" s="2" t="s">
        <v>42</v>
      </c>
      <c r="G81" s="2" t="s">
        <v>1824</v>
      </c>
      <c r="H81" s="2" t="s">
        <v>143</v>
      </c>
      <c r="I81" s="356">
        <v>6643.8</v>
      </c>
      <c r="J81" s="342">
        <v>33.33</v>
      </c>
      <c r="K81" s="357">
        <f t="shared" si="4"/>
        <v>199.33393339333935</v>
      </c>
      <c r="L81" s="476">
        <v>60</v>
      </c>
      <c r="M81" s="343">
        <f t="shared" si="5"/>
        <v>110.73</v>
      </c>
      <c r="N81" s="344">
        <f ca="1" t="shared" si="3"/>
        <v>184</v>
      </c>
      <c r="O81" s="358">
        <v>1</v>
      </c>
      <c r="P81" s="340" t="s">
        <v>348</v>
      </c>
    </row>
    <row r="82" spans="2:16" ht="39.75" customHeight="1">
      <c r="B82" s="25">
        <v>39051</v>
      </c>
      <c r="C82" s="340" t="s">
        <v>477</v>
      </c>
      <c r="D82" s="2" t="s">
        <v>1524</v>
      </c>
      <c r="E82" s="26" t="s">
        <v>151</v>
      </c>
      <c r="F82" s="2" t="s">
        <v>42</v>
      </c>
      <c r="G82" s="2" t="s">
        <v>1824</v>
      </c>
      <c r="H82" s="2" t="s">
        <v>143</v>
      </c>
      <c r="I82" s="356">
        <v>6643.8</v>
      </c>
      <c r="J82" s="342">
        <v>33.33</v>
      </c>
      <c r="K82" s="357">
        <f t="shared" si="4"/>
        <v>199.33393339333935</v>
      </c>
      <c r="L82" s="476">
        <v>60</v>
      </c>
      <c r="M82" s="343">
        <f t="shared" si="5"/>
        <v>110.73</v>
      </c>
      <c r="N82" s="344">
        <f ca="1" t="shared" si="3"/>
        <v>184</v>
      </c>
      <c r="O82" s="358">
        <v>1</v>
      </c>
      <c r="P82" s="340" t="s">
        <v>348</v>
      </c>
    </row>
    <row r="83" spans="2:16" ht="39.75" customHeight="1">
      <c r="B83" s="25">
        <v>39051</v>
      </c>
      <c r="C83" s="340" t="s">
        <v>477</v>
      </c>
      <c r="D83" s="2" t="s">
        <v>1525</v>
      </c>
      <c r="E83" s="26" t="s">
        <v>151</v>
      </c>
      <c r="F83" s="2" t="s">
        <v>42</v>
      </c>
      <c r="G83" s="2" t="s">
        <v>1824</v>
      </c>
      <c r="H83" s="2" t="s">
        <v>143</v>
      </c>
      <c r="I83" s="356">
        <v>6643.8</v>
      </c>
      <c r="J83" s="342">
        <v>33.33</v>
      </c>
      <c r="K83" s="357">
        <f t="shared" si="4"/>
        <v>199.33393339333935</v>
      </c>
      <c r="L83" s="476">
        <v>60</v>
      </c>
      <c r="M83" s="343">
        <f t="shared" si="5"/>
        <v>110.73</v>
      </c>
      <c r="N83" s="344">
        <f ca="1" t="shared" si="3"/>
        <v>184</v>
      </c>
      <c r="O83" s="358">
        <v>1</v>
      </c>
      <c r="P83" s="340" t="s">
        <v>348</v>
      </c>
    </row>
    <row r="84" spans="2:16" ht="39.75" customHeight="1">
      <c r="B84" s="25">
        <v>39051</v>
      </c>
      <c r="C84" s="340" t="s">
        <v>477</v>
      </c>
      <c r="D84" s="2" t="s">
        <v>1526</v>
      </c>
      <c r="E84" s="26" t="s">
        <v>151</v>
      </c>
      <c r="F84" s="2" t="s">
        <v>42</v>
      </c>
      <c r="G84" s="2" t="s">
        <v>1824</v>
      </c>
      <c r="H84" s="2" t="s">
        <v>143</v>
      </c>
      <c r="I84" s="356">
        <v>6643.8</v>
      </c>
      <c r="J84" s="342">
        <v>33.33</v>
      </c>
      <c r="K84" s="357">
        <f t="shared" si="4"/>
        <v>199.33393339333935</v>
      </c>
      <c r="L84" s="476">
        <v>60</v>
      </c>
      <c r="M84" s="343">
        <f t="shared" si="5"/>
        <v>110.73</v>
      </c>
      <c r="N84" s="344">
        <f ca="1" t="shared" si="3"/>
        <v>184</v>
      </c>
      <c r="O84" s="358">
        <v>1</v>
      </c>
      <c r="P84" s="340" t="s">
        <v>348</v>
      </c>
    </row>
    <row r="85" spans="2:16" ht="39.75" customHeight="1">
      <c r="B85" s="25">
        <v>39051</v>
      </c>
      <c r="C85" s="340" t="s">
        <v>477</v>
      </c>
      <c r="D85" s="2" t="s">
        <v>1527</v>
      </c>
      <c r="E85" s="26" t="s">
        <v>151</v>
      </c>
      <c r="F85" s="2" t="s">
        <v>42</v>
      </c>
      <c r="G85" s="2" t="s">
        <v>1824</v>
      </c>
      <c r="H85" s="2" t="s">
        <v>143</v>
      </c>
      <c r="I85" s="356">
        <v>6643.8</v>
      </c>
      <c r="J85" s="342">
        <v>33.33</v>
      </c>
      <c r="K85" s="357">
        <f t="shared" si="4"/>
        <v>199.33393339333935</v>
      </c>
      <c r="L85" s="476">
        <v>60</v>
      </c>
      <c r="M85" s="343">
        <f t="shared" si="5"/>
        <v>110.73</v>
      </c>
      <c r="N85" s="344">
        <f ca="1" t="shared" si="3"/>
        <v>184</v>
      </c>
      <c r="O85" s="358">
        <v>1</v>
      </c>
      <c r="P85" s="340" t="s">
        <v>348</v>
      </c>
    </row>
    <row r="86" spans="2:16" ht="39.75" customHeight="1">
      <c r="B86" s="25">
        <v>39051</v>
      </c>
      <c r="C86" s="340" t="s">
        <v>477</v>
      </c>
      <c r="D86" s="2" t="s">
        <v>1528</v>
      </c>
      <c r="E86" s="26" t="s">
        <v>151</v>
      </c>
      <c r="F86" s="2" t="s">
        <v>42</v>
      </c>
      <c r="G86" s="2" t="s">
        <v>1824</v>
      </c>
      <c r="H86" s="2" t="s">
        <v>143</v>
      </c>
      <c r="I86" s="356">
        <v>6643.8</v>
      </c>
      <c r="J86" s="342">
        <v>33.33</v>
      </c>
      <c r="K86" s="357">
        <f t="shared" si="4"/>
        <v>199.33393339333935</v>
      </c>
      <c r="L86" s="476">
        <v>60</v>
      </c>
      <c r="M86" s="343">
        <f t="shared" si="5"/>
        <v>110.73</v>
      </c>
      <c r="N86" s="344">
        <f ca="1" t="shared" si="3"/>
        <v>184</v>
      </c>
      <c r="O86" s="358">
        <v>1</v>
      </c>
      <c r="P86" s="340" t="s">
        <v>348</v>
      </c>
    </row>
    <row r="87" spans="2:16" ht="39.75" customHeight="1">
      <c r="B87" s="25">
        <v>39051</v>
      </c>
      <c r="C87" s="340" t="s">
        <v>477</v>
      </c>
      <c r="D87" s="2" t="s">
        <v>1529</v>
      </c>
      <c r="E87" s="26" t="s">
        <v>151</v>
      </c>
      <c r="F87" s="2" t="s">
        <v>42</v>
      </c>
      <c r="G87" s="2" t="s">
        <v>1824</v>
      </c>
      <c r="H87" s="2" t="s">
        <v>143</v>
      </c>
      <c r="I87" s="356">
        <v>6643.8</v>
      </c>
      <c r="J87" s="342">
        <v>33.33</v>
      </c>
      <c r="K87" s="357">
        <f t="shared" si="4"/>
        <v>199.33393339333935</v>
      </c>
      <c r="L87" s="476">
        <v>60</v>
      </c>
      <c r="M87" s="343">
        <f t="shared" si="5"/>
        <v>110.73</v>
      </c>
      <c r="N87" s="344">
        <f ca="1" t="shared" si="3"/>
        <v>184</v>
      </c>
      <c r="O87" s="358">
        <v>1</v>
      </c>
      <c r="P87" s="340" t="s">
        <v>348</v>
      </c>
    </row>
    <row r="88" spans="2:16" ht="39.75" customHeight="1">
      <c r="B88" s="25">
        <v>39051</v>
      </c>
      <c r="C88" s="340" t="s">
        <v>477</v>
      </c>
      <c r="D88" s="2" t="s">
        <v>1530</v>
      </c>
      <c r="E88" s="26" t="s">
        <v>146</v>
      </c>
      <c r="F88" s="2" t="s">
        <v>42</v>
      </c>
      <c r="G88" s="2" t="s">
        <v>1824</v>
      </c>
      <c r="H88" s="2" t="s">
        <v>143</v>
      </c>
      <c r="I88" s="356">
        <v>3280</v>
      </c>
      <c r="J88" s="342">
        <v>33.33</v>
      </c>
      <c r="K88" s="357">
        <f t="shared" si="4"/>
        <v>98.40984098409841</v>
      </c>
      <c r="L88" s="476">
        <v>60</v>
      </c>
      <c r="M88" s="343">
        <f t="shared" si="5"/>
        <v>54.666666666666664</v>
      </c>
      <c r="N88" s="344">
        <f ca="1" t="shared" si="3"/>
        <v>184</v>
      </c>
      <c r="O88" s="358">
        <v>1</v>
      </c>
      <c r="P88" s="340" t="s">
        <v>348</v>
      </c>
    </row>
    <row r="89" spans="2:16" ht="39.75" customHeight="1">
      <c r="B89" s="25">
        <v>39051</v>
      </c>
      <c r="C89" s="340" t="s">
        <v>477</v>
      </c>
      <c r="D89" s="2" t="s">
        <v>1531</v>
      </c>
      <c r="E89" s="26" t="s">
        <v>146</v>
      </c>
      <c r="F89" s="2" t="s">
        <v>42</v>
      </c>
      <c r="G89" s="2" t="s">
        <v>1824</v>
      </c>
      <c r="H89" s="2" t="s">
        <v>143</v>
      </c>
      <c r="I89" s="356">
        <v>3280</v>
      </c>
      <c r="J89" s="342">
        <v>33.33</v>
      </c>
      <c r="K89" s="357">
        <f t="shared" si="4"/>
        <v>98.40984098409841</v>
      </c>
      <c r="L89" s="476">
        <v>60</v>
      </c>
      <c r="M89" s="343">
        <f t="shared" si="5"/>
        <v>54.666666666666664</v>
      </c>
      <c r="N89" s="344">
        <f ca="1" t="shared" si="3"/>
        <v>184</v>
      </c>
      <c r="O89" s="358">
        <v>1</v>
      </c>
      <c r="P89" s="340" t="s">
        <v>348</v>
      </c>
    </row>
    <row r="90" spans="2:16" ht="39.75" customHeight="1">
      <c r="B90" s="25">
        <v>39051</v>
      </c>
      <c r="C90" s="340" t="s">
        <v>477</v>
      </c>
      <c r="D90" s="2" t="s">
        <v>1532</v>
      </c>
      <c r="E90" s="26" t="s">
        <v>146</v>
      </c>
      <c r="F90" s="2" t="s">
        <v>42</v>
      </c>
      <c r="G90" s="2" t="s">
        <v>1824</v>
      </c>
      <c r="H90" s="2" t="s">
        <v>143</v>
      </c>
      <c r="I90" s="356">
        <v>3280</v>
      </c>
      <c r="J90" s="342">
        <v>33.33</v>
      </c>
      <c r="K90" s="357">
        <f t="shared" si="4"/>
        <v>98.40984098409841</v>
      </c>
      <c r="L90" s="476">
        <v>60</v>
      </c>
      <c r="M90" s="343">
        <f t="shared" si="5"/>
        <v>54.666666666666664</v>
      </c>
      <c r="N90" s="344">
        <f ca="1" t="shared" si="3"/>
        <v>184</v>
      </c>
      <c r="O90" s="358">
        <v>1</v>
      </c>
      <c r="P90" s="340" t="s">
        <v>348</v>
      </c>
    </row>
    <row r="91" spans="2:16" ht="39.75" customHeight="1">
      <c r="B91" s="25">
        <v>39051</v>
      </c>
      <c r="C91" s="340" t="s">
        <v>477</v>
      </c>
      <c r="D91" s="2" t="s">
        <v>1533</v>
      </c>
      <c r="E91" s="26" t="s">
        <v>146</v>
      </c>
      <c r="F91" s="2" t="s">
        <v>42</v>
      </c>
      <c r="G91" s="2" t="s">
        <v>1824</v>
      </c>
      <c r="H91" s="2" t="s">
        <v>143</v>
      </c>
      <c r="I91" s="356">
        <v>3280</v>
      </c>
      <c r="J91" s="342">
        <v>33.33</v>
      </c>
      <c r="K91" s="357">
        <f t="shared" si="4"/>
        <v>98.40984098409841</v>
      </c>
      <c r="L91" s="476">
        <v>60</v>
      </c>
      <c r="M91" s="343">
        <f t="shared" si="5"/>
        <v>54.666666666666664</v>
      </c>
      <c r="N91" s="344">
        <f ca="1" t="shared" si="3"/>
        <v>184</v>
      </c>
      <c r="O91" s="358">
        <v>1</v>
      </c>
      <c r="P91" s="340" t="s">
        <v>348</v>
      </c>
    </row>
    <row r="92" spans="2:16" ht="39.75" customHeight="1">
      <c r="B92" s="25">
        <v>39051</v>
      </c>
      <c r="C92" s="340" t="s">
        <v>477</v>
      </c>
      <c r="D92" s="2" t="s">
        <v>1534</v>
      </c>
      <c r="E92" s="26" t="s">
        <v>146</v>
      </c>
      <c r="F92" s="2" t="s">
        <v>42</v>
      </c>
      <c r="G92" s="2" t="s">
        <v>1824</v>
      </c>
      <c r="H92" s="2" t="s">
        <v>143</v>
      </c>
      <c r="I92" s="356">
        <v>3280</v>
      </c>
      <c r="J92" s="342">
        <v>33.33</v>
      </c>
      <c r="K92" s="357">
        <f t="shared" si="4"/>
        <v>98.40984098409841</v>
      </c>
      <c r="L92" s="476">
        <v>60</v>
      </c>
      <c r="M92" s="343">
        <f t="shared" si="5"/>
        <v>54.666666666666664</v>
      </c>
      <c r="N92" s="344">
        <f ca="1" t="shared" si="3"/>
        <v>184</v>
      </c>
      <c r="O92" s="358">
        <v>1</v>
      </c>
      <c r="P92" s="340" t="s">
        <v>348</v>
      </c>
    </row>
    <row r="93" spans="2:16" ht="39.75" customHeight="1">
      <c r="B93" s="25">
        <v>39051</v>
      </c>
      <c r="C93" s="340" t="s">
        <v>477</v>
      </c>
      <c r="D93" s="2" t="s">
        <v>1535</v>
      </c>
      <c r="E93" s="26" t="s">
        <v>146</v>
      </c>
      <c r="F93" s="2" t="s">
        <v>42</v>
      </c>
      <c r="G93" s="2" t="s">
        <v>1824</v>
      </c>
      <c r="H93" s="2" t="s">
        <v>143</v>
      </c>
      <c r="I93" s="356">
        <v>3280</v>
      </c>
      <c r="J93" s="342">
        <v>33.33</v>
      </c>
      <c r="K93" s="357">
        <f t="shared" si="4"/>
        <v>98.40984098409841</v>
      </c>
      <c r="L93" s="476">
        <v>60</v>
      </c>
      <c r="M93" s="343">
        <f t="shared" si="5"/>
        <v>54.666666666666664</v>
      </c>
      <c r="N93" s="344">
        <f ca="1" t="shared" si="3"/>
        <v>184</v>
      </c>
      <c r="O93" s="358">
        <v>1</v>
      </c>
      <c r="P93" s="340" t="s">
        <v>348</v>
      </c>
    </row>
    <row r="94" spans="2:16" ht="39.75" customHeight="1">
      <c r="B94" s="25">
        <v>39051</v>
      </c>
      <c r="C94" s="340" t="s">
        <v>477</v>
      </c>
      <c r="D94" s="2" t="s">
        <v>1536</v>
      </c>
      <c r="E94" s="26" t="s">
        <v>478</v>
      </c>
      <c r="F94" s="2" t="s">
        <v>42</v>
      </c>
      <c r="G94" s="2" t="s">
        <v>1824</v>
      </c>
      <c r="H94" s="2" t="s">
        <v>143</v>
      </c>
      <c r="I94" s="356">
        <v>6779.7</v>
      </c>
      <c r="J94" s="342">
        <v>33.33</v>
      </c>
      <c r="K94" s="357">
        <f t="shared" si="4"/>
        <v>203.41134113411343</v>
      </c>
      <c r="L94" s="476">
        <v>60</v>
      </c>
      <c r="M94" s="343">
        <f t="shared" si="5"/>
        <v>112.99499999999999</v>
      </c>
      <c r="N94" s="344">
        <f ca="1" t="shared" si="3"/>
        <v>184</v>
      </c>
      <c r="O94" s="358">
        <v>1</v>
      </c>
      <c r="P94" s="340" t="s">
        <v>348</v>
      </c>
    </row>
    <row r="95" spans="2:16" ht="39.75" customHeight="1">
      <c r="B95" s="25">
        <v>39051</v>
      </c>
      <c r="C95" s="340" t="s">
        <v>477</v>
      </c>
      <c r="D95" s="2" t="s">
        <v>1537</v>
      </c>
      <c r="E95" s="26" t="s">
        <v>478</v>
      </c>
      <c r="F95" s="2" t="s">
        <v>42</v>
      </c>
      <c r="G95" s="2" t="s">
        <v>1824</v>
      </c>
      <c r="H95" s="2" t="s">
        <v>143</v>
      </c>
      <c r="I95" s="356">
        <v>6779.7</v>
      </c>
      <c r="J95" s="342">
        <v>33.33</v>
      </c>
      <c r="K95" s="357">
        <f t="shared" si="4"/>
        <v>203.41134113411343</v>
      </c>
      <c r="L95" s="476">
        <v>60</v>
      </c>
      <c r="M95" s="343">
        <f t="shared" si="5"/>
        <v>112.99499999999999</v>
      </c>
      <c r="N95" s="344">
        <f ca="1" t="shared" si="3"/>
        <v>184</v>
      </c>
      <c r="O95" s="358">
        <v>1</v>
      </c>
      <c r="P95" s="340" t="s">
        <v>348</v>
      </c>
    </row>
    <row r="96" spans="2:16" ht="39.75" customHeight="1">
      <c r="B96" s="25">
        <v>39051</v>
      </c>
      <c r="C96" s="340" t="s">
        <v>477</v>
      </c>
      <c r="D96" s="2" t="s">
        <v>1538</v>
      </c>
      <c r="E96" s="26" t="s">
        <v>478</v>
      </c>
      <c r="F96" s="2" t="s">
        <v>42</v>
      </c>
      <c r="G96" s="2" t="s">
        <v>1824</v>
      </c>
      <c r="H96" s="2" t="s">
        <v>143</v>
      </c>
      <c r="I96" s="356">
        <v>6779.7</v>
      </c>
      <c r="J96" s="342">
        <v>33.33</v>
      </c>
      <c r="K96" s="357">
        <f t="shared" si="4"/>
        <v>203.41134113411343</v>
      </c>
      <c r="L96" s="476">
        <v>60</v>
      </c>
      <c r="M96" s="343">
        <f t="shared" si="5"/>
        <v>112.99499999999999</v>
      </c>
      <c r="N96" s="344">
        <f ca="1" t="shared" si="3"/>
        <v>184</v>
      </c>
      <c r="O96" s="358">
        <v>1</v>
      </c>
      <c r="P96" s="340" t="s">
        <v>348</v>
      </c>
    </row>
    <row r="97" spans="2:16" ht="39.75" customHeight="1">
      <c r="B97" s="25">
        <v>39051</v>
      </c>
      <c r="C97" s="340" t="s">
        <v>477</v>
      </c>
      <c r="D97" s="2" t="s">
        <v>1539</v>
      </c>
      <c r="E97" s="26" t="s">
        <v>144</v>
      </c>
      <c r="F97" s="2" t="s">
        <v>42</v>
      </c>
      <c r="G97" s="2" t="s">
        <v>1824</v>
      </c>
      <c r="H97" s="2" t="s">
        <v>143</v>
      </c>
      <c r="I97" s="356">
        <v>3472.8</v>
      </c>
      <c r="J97" s="342">
        <v>33.33</v>
      </c>
      <c r="K97" s="357">
        <f t="shared" si="4"/>
        <v>104.1944194419442</v>
      </c>
      <c r="L97" s="476">
        <v>60</v>
      </c>
      <c r="M97" s="343">
        <f t="shared" si="5"/>
        <v>57.88</v>
      </c>
      <c r="N97" s="344">
        <f ca="1" t="shared" si="3"/>
        <v>184</v>
      </c>
      <c r="O97" s="358">
        <v>1</v>
      </c>
      <c r="P97" s="340" t="s">
        <v>348</v>
      </c>
    </row>
    <row r="98" spans="2:16" ht="39.75" customHeight="1">
      <c r="B98" s="25">
        <v>39051</v>
      </c>
      <c r="C98" s="340" t="s">
        <v>477</v>
      </c>
      <c r="D98" s="2" t="s">
        <v>1540</v>
      </c>
      <c r="E98" s="26" t="s">
        <v>144</v>
      </c>
      <c r="F98" s="2" t="s">
        <v>42</v>
      </c>
      <c r="G98" s="2" t="s">
        <v>1824</v>
      </c>
      <c r="H98" s="2" t="s">
        <v>143</v>
      </c>
      <c r="I98" s="356">
        <v>3472.8</v>
      </c>
      <c r="J98" s="342">
        <v>33.33</v>
      </c>
      <c r="K98" s="357">
        <f t="shared" si="4"/>
        <v>104.1944194419442</v>
      </c>
      <c r="L98" s="476">
        <v>60</v>
      </c>
      <c r="M98" s="343">
        <f t="shared" si="5"/>
        <v>57.88</v>
      </c>
      <c r="N98" s="344">
        <f ca="1" t="shared" si="3"/>
        <v>184</v>
      </c>
      <c r="O98" s="358">
        <v>1</v>
      </c>
      <c r="P98" s="340" t="s">
        <v>348</v>
      </c>
    </row>
    <row r="99" spans="2:16" ht="39.75" customHeight="1">
      <c r="B99" s="25">
        <v>39051</v>
      </c>
      <c r="C99" s="340" t="s">
        <v>477</v>
      </c>
      <c r="D99" s="2" t="s">
        <v>1541</v>
      </c>
      <c r="E99" s="26" t="s">
        <v>144</v>
      </c>
      <c r="F99" s="2" t="s">
        <v>42</v>
      </c>
      <c r="G99" s="2" t="s">
        <v>1824</v>
      </c>
      <c r="H99" s="2" t="s">
        <v>143</v>
      </c>
      <c r="I99" s="356">
        <v>3472.8</v>
      </c>
      <c r="J99" s="342">
        <v>33.33</v>
      </c>
      <c r="K99" s="357">
        <f t="shared" si="4"/>
        <v>104.1944194419442</v>
      </c>
      <c r="L99" s="476">
        <v>60</v>
      </c>
      <c r="M99" s="343">
        <f t="shared" si="5"/>
        <v>57.88</v>
      </c>
      <c r="N99" s="344">
        <f ca="1" t="shared" si="3"/>
        <v>184</v>
      </c>
      <c r="O99" s="358">
        <v>1</v>
      </c>
      <c r="P99" s="340" t="s">
        <v>348</v>
      </c>
    </row>
    <row r="100" spans="2:16" ht="39.75" customHeight="1">
      <c r="B100" s="25">
        <v>39051</v>
      </c>
      <c r="C100" s="340" t="s">
        <v>477</v>
      </c>
      <c r="D100" s="2" t="s">
        <v>1542</v>
      </c>
      <c r="E100" s="26" t="s">
        <v>144</v>
      </c>
      <c r="F100" s="2" t="s">
        <v>42</v>
      </c>
      <c r="G100" s="2" t="s">
        <v>1824</v>
      </c>
      <c r="H100" s="2" t="s">
        <v>143</v>
      </c>
      <c r="I100" s="356">
        <v>3472.8</v>
      </c>
      <c r="J100" s="342">
        <v>33.33</v>
      </c>
      <c r="K100" s="357">
        <f t="shared" si="4"/>
        <v>104.1944194419442</v>
      </c>
      <c r="L100" s="476">
        <v>60</v>
      </c>
      <c r="M100" s="343">
        <f t="shared" si="5"/>
        <v>57.88</v>
      </c>
      <c r="N100" s="344">
        <f ca="1" t="shared" si="3"/>
        <v>184</v>
      </c>
      <c r="O100" s="358">
        <v>1</v>
      </c>
      <c r="P100" s="340" t="s">
        <v>348</v>
      </c>
    </row>
    <row r="101" spans="2:16" ht="39.75" customHeight="1">
      <c r="B101" s="25">
        <v>39051</v>
      </c>
      <c r="C101" s="340" t="s">
        <v>477</v>
      </c>
      <c r="D101" s="2" t="s">
        <v>1543</v>
      </c>
      <c r="E101" s="26" t="s">
        <v>144</v>
      </c>
      <c r="F101" s="2" t="s">
        <v>42</v>
      </c>
      <c r="G101" s="2" t="s">
        <v>1824</v>
      </c>
      <c r="H101" s="2" t="s">
        <v>143</v>
      </c>
      <c r="I101" s="356">
        <v>3472.8</v>
      </c>
      <c r="J101" s="342">
        <v>33.33</v>
      </c>
      <c r="K101" s="357">
        <f t="shared" si="4"/>
        <v>104.1944194419442</v>
      </c>
      <c r="L101" s="476">
        <v>60</v>
      </c>
      <c r="M101" s="343">
        <f t="shared" si="5"/>
        <v>57.88</v>
      </c>
      <c r="N101" s="344">
        <f ca="1" t="shared" si="3"/>
        <v>184</v>
      </c>
      <c r="O101" s="358">
        <v>1</v>
      </c>
      <c r="P101" s="340" t="s">
        <v>348</v>
      </c>
    </row>
    <row r="102" spans="2:16" ht="39.75" customHeight="1">
      <c r="B102" s="25">
        <v>39051</v>
      </c>
      <c r="C102" s="340" t="s">
        <v>477</v>
      </c>
      <c r="D102" s="2" t="s">
        <v>1544</v>
      </c>
      <c r="E102" s="26" t="s">
        <v>144</v>
      </c>
      <c r="F102" s="2" t="s">
        <v>42</v>
      </c>
      <c r="G102" s="2" t="s">
        <v>1824</v>
      </c>
      <c r="H102" s="2" t="s">
        <v>143</v>
      </c>
      <c r="I102" s="356">
        <v>3472.8</v>
      </c>
      <c r="J102" s="342">
        <v>33.33</v>
      </c>
      <c r="K102" s="357">
        <f t="shared" si="4"/>
        <v>104.1944194419442</v>
      </c>
      <c r="L102" s="476">
        <v>60</v>
      </c>
      <c r="M102" s="343">
        <f t="shared" si="5"/>
        <v>57.88</v>
      </c>
      <c r="N102" s="344">
        <f ca="1" t="shared" si="3"/>
        <v>184</v>
      </c>
      <c r="O102" s="358">
        <v>1</v>
      </c>
      <c r="P102" s="340" t="s">
        <v>348</v>
      </c>
    </row>
    <row r="103" spans="2:16" ht="39.75" customHeight="1">
      <c r="B103" s="25">
        <v>39051</v>
      </c>
      <c r="C103" s="340" t="s">
        <v>477</v>
      </c>
      <c r="D103" s="2" t="s">
        <v>1545</v>
      </c>
      <c r="E103" s="26" t="s">
        <v>152</v>
      </c>
      <c r="F103" s="2" t="s">
        <v>42</v>
      </c>
      <c r="G103" s="2" t="s">
        <v>1824</v>
      </c>
      <c r="H103" s="2" t="s">
        <v>143</v>
      </c>
      <c r="I103" s="356">
        <v>1690.4</v>
      </c>
      <c r="J103" s="342">
        <v>33.33</v>
      </c>
      <c r="K103" s="357">
        <f t="shared" si="4"/>
        <v>50.717071707170724</v>
      </c>
      <c r="L103" s="476">
        <v>60</v>
      </c>
      <c r="M103" s="343">
        <f t="shared" si="5"/>
        <v>28.173333333333336</v>
      </c>
      <c r="N103" s="344">
        <f ca="1" t="shared" si="3"/>
        <v>184</v>
      </c>
      <c r="O103" s="358">
        <v>1</v>
      </c>
      <c r="P103" s="340" t="s">
        <v>348</v>
      </c>
    </row>
    <row r="104" spans="2:16" ht="39.75" customHeight="1">
      <c r="B104" s="25">
        <v>39051</v>
      </c>
      <c r="C104" s="340" t="s">
        <v>477</v>
      </c>
      <c r="D104" s="2" t="s">
        <v>1547</v>
      </c>
      <c r="E104" s="26" t="s">
        <v>166</v>
      </c>
      <c r="F104" s="2" t="s">
        <v>42</v>
      </c>
      <c r="G104" s="2" t="s">
        <v>1824</v>
      </c>
      <c r="H104" s="2" t="s">
        <v>143</v>
      </c>
      <c r="I104" s="356">
        <v>1708</v>
      </c>
      <c r="J104" s="342">
        <v>33.33</v>
      </c>
      <c r="K104" s="357">
        <f t="shared" si="4"/>
        <v>51.24512451245125</v>
      </c>
      <c r="L104" s="476">
        <v>60</v>
      </c>
      <c r="M104" s="343">
        <f t="shared" si="5"/>
        <v>28.466666666666665</v>
      </c>
      <c r="N104" s="344">
        <f ca="1" t="shared" si="3"/>
        <v>184</v>
      </c>
      <c r="O104" s="358">
        <v>1</v>
      </c>
      <c r="P104" s="340" t="s">
        <v>348</v>
      </c>
    </row>
    <row r="105" spans="2:16" ht="39.75" customHeight="1">
      <c r="B105" s="25">
        <v>39051</v>
      </c>
      <c r="C105" s="340" t="s">
        <v>477</v>
      </c>
      <c r="D105" s="2" t="s">
        <v>1548</v>
      </c>
      <c r="E105" s="26" t="s">
        <v>166</v>
      </c>
      <c r="F105" s="2" t="s">
        <v>42</v>
      </c>
      <c r="G105" s="2" t="s">
        <v>1824</v>
      </c>
      <c r="H105" s="2" t="s">
        <v>143</v>
      </c>
      <c r="I105" s="356">
        <v>1708</v>
      </c>
      <c r="J105" s="342">
        <v>33.33</v>
      </c>
      <c r="K105" s="357">
        <f t="shared" si="4"/>
        <v>51.24512451245125</v>
      </c>
      <c r="L105" s="476">
        <v>60</v>
      </c>
      <c r="M105" s="343">
        <f t="shared" si="5"/>
        <v>28.466666666666665</v>
      </c>
      <c r="N105" s="344">
        <f ca="1" t="shared" si="3"/>
        <v>184</v>
      </c>
      <c r="O105" s="358">
        <v>1</v>
      </c>
      <c r="P105" s="340" t="s">
        <v>348</v>
      </c>
    </row>
    <row r="106" spans="2:16" ht="39.75" customHeight="1">
      <c r="B106" s="25">
        <v>39051</v>
      </c>
      <c r="C106" s="340" t="s">
        <v>477</v>
      </c>
      <c r="D106" s="2" t="s">
        <v>1546</v>
      </c>
      <c r="E106" s="26" t="s">
        <v>148</v>
      </c>
      <c r="F106" s="2" t="s">
        <v>42</v>
      </c>
      <c r="G106" s="2" t="s">
        <v>1824</v>
      </c>
      <c r="H106" s="2" t="s">
        <v>143</v>
      </c>
      <c r="I106" s="356">
        <v>4512</v>
      </c>
      <c r="J106" s="342">
        <v>33.33</v>
      </c>
      <c r="K106" s="357">
        <f t="shared" si="4"/>
        <v>135.37353735373537</v>
      </c>
      <c r="L106" s="476">
        <v>60</v>
      </c>
      <c r="M106" s="343">
        <f t="shared" si="5"/>
        <v>75.2</v>
      </c>
      <c r="N106" s="344">
        <f ca="1" t="shared" si="3"/>
        <v>184</v>
      </c>
      <c r="O106" s="358">
        <v>1</v>
      </c>
      <c r="P106" s="340" t="s">
        <v>348</v>
      </c>
    </row>
    <row r="107" spans="2:16" ht="39.75" customHeight="1">
      <c r="B107" s="25">
        <v>39051</v>
      </c>
      <c r="C107" s="340" t="s">
        <v>477</v>
      </c>
      <c r="D107" s="2" t="s">
        <v>1549</v>
      </c>
      <c r="E107" s="26" t="s">
        <v>148</v>
      </c>
      <c r="F107" s="2" t="s">
        <v>42</v>
      </c>
      <c r="G107" s="2" t="s">
        <v>1824</v>
      </c>
      <c r="H107" s="2" t="s">
        <v>143</v>
      </c>
      <c r="I107" s="356">
        <v>4512</v>
      </c>
      <c r="J107" s="342">
        <v>33.33</v>
      </c>
      <c r="K107" s="357">
        <f t="shared" si="4"/>
        <v>135.37353735373537</v>
      </c>
      <c r="L107" s="476">
        <v>60</v>
      </c>
      <c r="M107" s="343">
        <f t="shared" si="5"/>
        <v>75.2</v>
      </c>
      <c r="N107" s="344">
        <f ca="1" t="shared" si="3"/>
        <v>184</v>
      </c>
      <c r="O107" s="358">
        <v>1</v>
      </c>
      <c r="P107" s="340" t="s">
        <v>348</v>
      </c>
    </row>
    <row r="108" spans="2:16" ht="39.75" customHeight="1">
      <c r="B108" s="25">
        <v>39051</v>
      </c>
      <c r="C108" s="340" t="s">
        <v>477</v>
      </c>
      <c r="D108" s="2" t="s">
        <v>1550</v>
      </c>
      <c r="E108" s="26" t="s">
        <v>148</v>
      </c>
      <c r="F108" s="2" t="s">
        <v>42</v>
      </c>
      <c r="G108" s="2" t="s">
        <v>1824</v>
      </c>
      <c r="H108" s="2" t="s">
        <v>143</v>
      </c>
      <c r="I108" s="356">
        <v>4512</v>
      </c>
      <c r="J108" s="342">
        <v>33.33</v>
      </c>
      <c r="K108" s="357">
        <f t="shared" si="4"/>
        <v>135.37353735373537</v>
      </c>
      <c r="L108" s="476">
        <v>60</v>
      </c>
      <c r="M108" s="343">
        <f t="shared" si="5"/>
        <v>75.2</v>
      </c>
      <c r="N108" s="344">
        <f ca="1" t="shared" si="3"/>
        <v>184</v>
      </c>
      <c r="O108" s="358">
        <v>1</v>
      </c>
      <c r="P108" s="340" t="s">
        <v>348</v>
      </c>
    </row>
    <row r="109" spans="2:16" ht="39.75" customHeight="1">
      <c r="B109" s="25">
        <v>39051</v>
      </c>
      <c r="C109" s="340" t="s">
        <v>477</v>
      </c>
      <c r="D109" s="2" t="s">
        <v>1551</v>
      </c>
      <c r="E109" s="26" t="s">
        <v>148</v>
      </c>
      <c r="F109" s="2" t="s">
        <v>42</v>
      </c>
      <c r="G109" s="2" t="s">
        <v>1824</v>
      </c>
      <c r="H109" s="2" t="s">
        <v>143</v>
      </c>
      <c r="I109" s="356">
        <v>4512</v>
      </c>
      <c r="J109" s="342">
        <v>33.33</v>
      </c>
      <c r="K109" s="357">
        <f t="shared" si="4"/>
        <v>135.37353735373537</v>
      </c>
      <c r="L109" s="476">
        <v>60</v>
      </c>
      <c r="M109" s="343">
        <f t="shared" si="5"/>
        <v>75.2</v>
      </c>
      <c r="N109" s="344">
        <f ca="1" t="shared" si="3"/>
        <v>184</v>
      </c>
      <c r="O109" s="358">
        <v>1</v>
      </c>
      <c r="P109" s="340" t="s">
        <v>348</v>
      </c>
    </row>
    <row r="110" spans="2:16" ht="39.75" customHeight="1">
      <c r="B110" s="25">
        <v>39051</v>
      </c>
      <c r="C110" s="340" t="s">
        <v>477</v>
      </c>
      <c r="D110" s="2" t="s">
        <v>1552</v>
      </c>
      <c r="E110" s="26" t="s">
        <v>148</v>
      </c>
      <c r="F110" s="2" t="s">
        <v>42</v>
      </c>
      <c r="G110" s="2" t="s">
        <v>1824</v>
      </c>
      <c r="H110" s="2" t="s">
        <v>143</v>
      </c>
      <c r="I110" s="356">
        <v>4512</v>
      </c>
      <c r="J110" s="342">
        <v>33.33</v>
      </c>
      <c r="K110" s="357">
        <f t="shared" si="4"/>
        <v>135.37353735373537</v>
      </c>
      <c r="L110" s="476">
        <v>60</v>
      </c>
      <c r="M110" s="343">
        <f t="shared" si="5"/>
        <v>75.2</v>
      </c>
      <c r="N110" s="344">
        <f ca="1" t="shared" si="3"/>
        <v>184</v>
      </c>
      <c r="O110" s="358">
        <v>1</v>
      </c>
      <c r="P110" s="340" t="s">
        <v>348</v>
      </c>
    </row>
    <row r="111" spans="2:16" ht="39.75" customHeight="1">
      <c r="B111" s="25">
        <v>39051</v>
      </c>
      <c r="C111" s="340" t="s">
        <v>477</v>
      </c>
      <c r="D111" s="2" t="s">
        <v>1553</v>
      </c>
      <c r="E111" s="26" t="s">
        <v>153</v>
      </c>
      <c r="F111" s="2" t="s">
        <v>42</v>
      </c>
      <c r="G111" s="2" t="s">
        <v>1824</v>
      </c>
      <c r="H111" s="2" t="s">
        <v>143</v>
      </c>
      <c r="I111" s="356">
        <v>5026.4</v>
      </c>
      <c r="J111" s="342">
        <v>33.33</v>
      </c>
      <c r="K111" s="357">
        <f t="shared" si="4"/>
        <v>150.8070807080708</v>
      </c>
      <c r="L111" s="476">
        <v>60</v>
      </c>
      <c r="M111" s="343">
        <f t="shared" si="5"/>
        <v>83.77333333333333</v>
      </c>
      <c r="N111" s="344">
        <f ca="1" t="shared" si="3"/>
        <v>184</v>
      </c>
      <c r="O111" s="358">
        <v>1</v>
      </c>
      <c r="P111" s="340" t="s">
        <v>348</v>
      </c>
    </row>
    <row r="112" spans="2:16" ht="39.75" customHeight="1">
      <c r="B112" s="25">
        <v>39051</v>
      </c>
      <c r="C112" s="340" t="s">
        <v>477</v>
      </c>
      <c r="D112" s="2" t="s">
        <v>1555</v>
      </c>
      <c r="E112" s="26" t="s">
        <v>153</v>
      </c>
      <c r="F112" s="2" t="s">
        <v>42</v>
      </c>
      <c r="G112" s="2" t="s">
        <v>1824</v>
      </c>
      <c r="H112" s="2" t="s">
        <v>143</v>
      </c>
      <c r="I112" s="356">
        <v>5026.4</v>
      </c>
      <c r="J112" s="342">
        <v>33.33</v>
      </c>
      <c r="K112" s="357">
        <f t="shared" si="4"/>
        <v>150.8070807080708</v>
      </c>
      <c r="L112" s="476">
        <v>60</v>
      </c>
      <c r="M112" s="343">
        <f t="shared" si="5"/>
        <v>83.77333333333333</v>
      </c>
      <c r="N112" s="344">
        <f ca="1" t="shared" si="3"/>
        <v>184</v>
      </c>
      <c r="O112" s="358">
        <v>1</v>
      </c>
      <c r="P112" s="340" t="s">
        <v>348</v>
      </c>
    </row>
    <row r="113" spans="2:16" ht="39.75" customHeight="1">
      <c r="B113" s="25">
        <v>39051</v>
      </c>
      <c r="C113" s="340" t="s">
        <v>477</v>
      </c>
      <c r="D113" s="2" t="s">
        <v>1556</v>
      </c>
      <c r="E113" s="26" t="s">
        <v>168</v>
      </c>
      <c r="F113" s="2" t="s">
        <v>42</v>
      </c>
      <c r="G113" s="2" t="s">
        <v>1824</v>
      </c>
      <c r="H113" s="2" t="s">
        <v>143</v>
      </c>
      <c r="I113" s="356">
        <v>6243.2</v>
      </c>
      <c r="J113" s="342">
        <v>33.33</v>
      </c>
      <c r="K113" s="357">
        <f t="shared" si="4"/>
        <v>187.31473147314733</v>
      </c>
      <c r="L113" s="476">
        <v>60</v>
      </c>
      <c r="M113" s="343">
        <f t="shared" si="5"/>
        <v>104.05333333333333</v>
      </c>
      <c r="N113" s="344">
        <f ca="1" t="shared" si="3"/>
        <v>184</v>
      </c>
      <c r="O113" s="358">
        <v>1</v>
      </c>
      <c r="P113" s="340" t="s">
        <v>348</v>
      </c>
    </row>
    <row r="114" spans="2:16" ht="39.75" customHeight="1">
      <c r="B114" s="25">
        <v>39051</v>
      </c>
      <c r="C114" s="340" t="s">
        <v>477</v>
      </c>
      <c r="D114" s="2" t="s">
        <v>1557</v>
      </c>
      <c r="E114" s="26" t="s">
        <v>168</v>
      </c>
      <c r="F114" s="2" t="s">
        <v>42</v>
      </c>
      <c r="G114" s="2" t="s">
        <v>1824</v>
      </c>
      <c r="H114" s="2" t="s">
        <v>143</v>
      </c>
      <c r="I114" s="356">
        <v>6243.2</v>
      </c>
      <c r="J114" s="342">
        <v>33.33</v>
      </c>
      <c r="K114" s="357">
        <f t="shared" si="4"/>
        <v>187.31473147314733</v>
      </c>
      <c r="L114" s="476">
        <v>60</v>
      </c>
      <c r="M114" s="343">
        <f t="shared" si="5"/>
        <v>104.05333333333333</v>
      </c>
      <c r="N114" s="344">
        <f ca="1" t="shared" si="3"/>
        <v>184</v>
      </c>
      <c r="O114" s="358">
        <v>1</v>
      </c>
      <c r="P114" s="340" t="s">
        <v>348</v>
      </c>
    </row>
    <row r="115" spans="2:16" ht="39.75" customHeight="1">
      <c r="B115" s="25">
        <v>39051</v>
      </c>
      <c r="C115" s="340" t="s">
        <v>477</v>
      </c>
      <c r="D115" s="2" t="s">
        <v>1558</v>
      </c>
      <c r="E115" s="26" t="s">
        <v>168</v>
      </c>
      <c r="F115" s="2" t="s">
        <v>42</v>
      </c>
      <c r="G115" s="2" t="s">
        <v>1824</v>
      </c>
      <c r="H115" s="2" t="s">
        <v>143</v>
      </c>
      <c r="I115" s="356">
        <v>6243.2</v>
      </c>
      <c r="J115" s="342">
        <v>33.33</v>
      </c>
      <c r="K115" s="357">
        <f t="shared" si="4"/>
        <v>187.31473147314733</v>
      </c>
      <c r="L115" s="476">
        <v>60</v>
      </c>
      <c r="M115" s="343">
        <f t="shared" si="5"/>
        <v>104.05333333333333</v>
      </c>
      <c r="N115" s="344">
        <f ca="1" t="shared" si="3"/>
        <v>184</v>
      </c>
      <c r="O115" s="358">
        <v>1</v>
      </c>
      <c r="P115" s="340" t="s">
        <v>348</v>
      </c>
    </row>
    <row r="116" spans="2:16" ht="39.75" customHeight="1">
      <c r="B116" s="25">
        <v>39051</v>
      </c>
      <c r="C116" s="340" t="s">
        <v>477</v>
      </c>
      <c r="D116" s="2" t="s">
        <v>1559</v>
      </c>
      <c r="E116" s="26" t="s">
        <v>168</v>
      </c>
      <c r="F116" s="2" t="s">
        <v>42</v>
      </c>
      <c r="G116" s="2" t="s">
        <v>1824</v>
      </c>
      <c r="H116" s="2" t="s">
        <v>143</v>
      </c>
      <c r="I116" s="356">
        <v>6243.2</v>
      </c>
      <c r="J116" s="342">
        <v>33.33</v>
      </c>
      <c r="K116" s="357">
        <f t="shared" si="4"/>
        <v>187.31473147314733</v>
      </c>
      <c r="L116" s="476">
        <v>60</v>
      </c>
      <c r="M116" s="343">
        <f t="shared" si="5"/>
        <v>104.05333333333333</v>
      </c>
      <c r="N116" s="344">
        <f ca="1" t="shared" si="3"/>
        <v>184</v>
      </c>
      <c r="O116" s="358">
        <v>1</v>
      </c>
      <c r="P116" s="340" t="s">
        <v>348</v>
      </c>
    </row>
    <row r="117" spans="2:16" ht="39.75" customHeight="1">
      <c r="B117" s="25">
        <v>39051</v>
      </c>
      <c r="C117" s="340" t="s">
        <v>477</v>
      </c>
      <c r="D117" s="2" t="s">
        <v>1568</v>
      </c>
      <c r="E117" s="26" t="s">
        <v>149</v>
      </c>
      <c r="F117" s="2" t="s">
        <v>42</v>
      </c>
      <c r="G117" s="2" t="s">
        <v>1824</v>
      </c>
      <c r="H117" s="2" t="s">
        <v>143</v>
      </c>
      <c r="I117" s="356">
        <v>394.4</v>
      </c>
      <c r="J117" s="342">
        <v>33.33</v>
      </c>
      <c r="K117" s="357">
        <f t="shared" si="4"/>
        <v>11.833183318331834</v>
      </c>
      <c r="L117" s="476">
        <v>60</v>
      </c>
      <c r="M117" s="343">
        <f t="shared" si="5"/>
        <v>6.573333333333333</v>
      </c>
      <c r="N117" s="344">
        <f ca="1" t="shared" si="3"/>
        <v>184</v>
      </c>
      <c r="O117" s="358">
        <v>1</v>
      </c>
      <c r="P117" s="340" t="s">
        <v>348</v>
      </c>
    </row>
    <row r="118" spans="2:16" ht="39.75" customHeight="1">
      <c r="B118" s="25">
        <v>39051</v>
      </c>
      <c r="C118" s="340" t="s">
        <v>477</v>
      </c>
      <c r="D118" s="2" t="s">
        <v>1569</v>
      </c>
      <c r="E118" s="26" t="s">
        <v>149</v>
      </c>
      <c r="F118" s="2" t="s">
        <v>42</v>
      </c>
      <c r="G118" s="2" t="s">
        <v>1824</v>
      </c>
      <c r="H118" s="2" t="s">
        <v>143</v>
      </c>
      <c r="I118" s="356">
        <v>394.4</v>
      </c>
      <c r="J118" s="342">
        <v>33.33</v>
      </c>
      <c r="K118" s="357">
        <f t="shared" si="4"/>
        <v>11.833183318331834</v>
      </c>
      <c r="L118" s="476">
        <v>60</v>
      </c>
      <c r="M118" s="343">
        <f t="shared" si="5"/>
        <v>6.573333333333333</v>
      </c>
      <c r="N118" s="344">
        <f ca="1" t="shared" si="3"/>
        <v>184</v>
      </c>
      <c r="O118" s="358">
        <v>1</v>
      </c>
      <c r="P118" s="340" t="s">
        <v>348</v>
      </c>
    </row>
    <row r="119" spans="2:16" ht="39.75" customHeight="1">
      <c r="B119" s="25">
        <v>39051</v>
      </c>
      <c r="C119" s="340" t="s">
        <v>477</v>
      </c>
      <c r="D119" s="2" t="s">
        <v>1570</v>
      </c>
      <c r="E119" s="26" t="s">
        <v>149</v>
      </c>
      <c r="F119" s="2" t="s">
        <v>42</v>
      </c>
      <c r="G119" s="2" t="s">
        <v>1824</v>
      </c>
      <c r="H119" s="2" t="s">
        <v>143</v>
      </c>
      <c r="I119" s="356">
        <v>394.4</v>
      </c>
      <c r="J119" s="342">
        <v>33.33</v>
      </c>
      <c r="K119" s="357">
        <f t="shared" si="4"/>
        <v>11.833183318331834</v>
      </c>
      <c r="L119" s="476">
        <v>60</v>
      </c>
      <c r="M119" s="343">
        <f t="shared" si="5"/>
        <v>6.573333333333333</v>
      </c>
      <c r="N119" s="344">
        <f ca="1" t="shared" si="3"/>
        <v>184</v>
      </c>
      <c r="O119" s="358">
        <v>1</v>
      </c>
      <c r="P119" s="340" t="s">
        <v>348</v>
      </c>
    </row>
    <row r="120" spans="2:16" ht="39.75" customHeight="1">
      <c r="B120" s="25">
        <v>39051</v>
      </c>
      <c r="C120" s="340" t="s">
        <v>477</v>
      </c>
      <c r="D120" s="2" t="s">
        <v>1571</v>
      </c>
      <c r="E120" s="26" t="s">
        <v>149</v>
      </c>
      <c r="F120" s="2" t="s">
        <v>42</v>
      </c>
      <c r="G120" s="2" t="s">
        <v>1824</v>
      </c>
      <c r="H120" s="2" t="s">
        <v>143</v>
      </c>
      <c r="I120" s="356">
        <v>394.4</v>
      </c>
      <c r="J120" s="342">
        <v>33.33</v>
      </c>
      <c r="K120" s="357">
        <f t="shared" si="4"/>
        <v>11.833183318331834</v>
      </c>
      <c r="L120" s="476">
        <v>60</v>
      </c>
      <c r="M120" s="343">
        <f t="shared" si="5"/>
        <v>6.573333333333333</v>
      </c>
      <c r="N120" s="344">
        <f ca="1" t="shared" si="3"/>
        <v>184</v>
      </c>
      <c r="O120" s="358">
        <v>1</v>
      </c>
      <c r="P120" s="340" t="s">
        <v>348</v>
      </c>
    </row>
    <row r="121" spans="2:16" ht="39.75" customHeight="1">
      <c r="B121" s="25">
        <v>39051</v>
      </c>
      <c r="C121" s="340" t="s">
        <v>477</v>
      </c>
      <c r="D121" s="2" t="s">
        <v>1572</v>
      </c>
      <c r="E121" s="26" t="s">
        <v>149</v>
      </c>
      <c r="F121" s="2" t="s">
        <v>42</v>
      </c>
      <c r="G121" s="2" t="s">
        <v>1824</v>
      </c>
      <c r="H121" s="2" t="s">
        <v>143</v>
      </c>
      <c r="I121" s="356">
        <v>394.4</v>
      </c>
      <c r="J121" s="342">
        <v>33.33</v>
      </c>
      <c r="K121" s="357">
        <f t="shared" si="4"/>
        <v>11.833183318331834</v>
      </c>
      <c r="L121" s="476">
        <v>60</v>
      </c>
      <c r="M121" s="343">
        <f t="shared" si="5"/>
        <v>6.573333333333333</v>
      </c>
      <c r="N121" s="344">
        <f ca="1" t="shared" si="3"/>
        <v>184</v>
      </c>
      <c r="O121" s="358">
        <v>1</v>
      </c>
      <c r="P121" s="340" t="s">
        <v>348</v>
      </c>
    </row>
    <row r="122" spans="2:16" ht="39.75" customHeight="1">
      <c r="B122" s="25">
        <v>39051</v>
      </c>
      <c r="C122" s="340" t="s">
        <v>477</v>
      </c>
      <c r="D122" s="2" t="s">
        <v>1560</v>
      </c>
      <c r="E122" s="26" t="s">
        <v>154</v>
      </c>
      <c r="F122" s="2" t="s">
        <v>42</v>
      </c>
      <c r="G122" s="2" t="s">
        <v>1824</v>
      </c>
      <c r="H122" s="2" t="s">
        <v>143</v>
      </c>
      <c r="I122" s="356">
        <v>2263.2</v>
      </c>
      <c r="J122" s="342">
        <v>33.33</v>
      </c>
      <c r="K122" s="357">
        <f t="shared" si="4"/>
        <v>67.9027902790279</v>
      </c>
      <c r="L122" s="476">
        <v>60</v>
      </c>
      <c r="M122" s="343">
        <f t="shared" si="5"/>
        <v>37.72</v>
      </c>
      <c r="N122" s="344">
        <f ca="1" t="shared" si="3"/>
        <v>184</v>
      </c>
      <c r="O122" s="358">
        <v>1</v>
      </c>
      <c r="P122" s="340" t="s">
        <v>348</v>
      </c>
    </row>
    <row r="123" spans="2:16" ht="39.75" customHeight="1">
      <c r="B123" s="25">
        <v>39051</v>
      </c>
      <c r="C123" s="340" t="s">
        <v>477</v>
      </c>
      <c r="D123" s="2" t="s">
        <v>1570</v>
      </c>
      <c r="E123" s="26" t="s">
        <v>803</v>
      </c>
      <c r="F123" s="2" t="s">
        <v>42</v>
      </c>
      <c r="G123" s="2" t="s">
        <v>1824</v>
      </c>
      <c r="H123" s="2" t="s">
        <v>143</v>
      </c>
      <c r="I123" s="356">
        <v>7641.6</v>
      </c>
      <c r="J123" s="342">
        <v>33.33</v>
      </c>
      <c r="K123" s="357">
        <f t="shared" si="4"/>
        <v>229.2709270927093</v>
      </c>
      <c r="L123" s="476">
        <v>60</v>
      </c>
      <c r="M123" s="343">
        <f t="shared" si="5"/>
        <v>127.36</v>
      </c>
      <c r="N123" s="344">
        <f ca="1" t="shared" si="3"/>
        <v>184</v>
      </c>
      <c r="O123" s="358">
        <v>1</v>
      </c>
      <c r="P123" s="340" t="s">
        <v>348</v>
      </c>
    </row>
    <row r="124" spans="2:16" ht="39.75" customHeight="1">
      <c r="B124" s="25">
        <v>39051</v>
      </c>
      <c r="C124" s="340" t="s">
        <v>477</v>
      </c>
      <c r="D124" s="2" t="s">
        <v>1571</v>
      </c>
      <c r="E124" s="26" t="s">
        <v>804</v>
      </c>
      <c r="F124" s="2" t="s">
        <v>42</v>
      </c>
      <c r="G124" s="2" t="s">
        <v>1824</v>
      </c>
      <c r="H124" s="2" t="s">
        <v>143</v>
      </c>
      <c r="I124" s="356">
        <v>2787.2</v>
      </c>
      <c r="J124" s="342">
        <v>33.33</v>
      </c>
      <c r="K124" s="357">
        <f t="shared" si="4"/>
        <v>83.62436243624363</v>
      </c>
      <c r="L124" s="476">
        <v>60</v>
      </c>
      <c r="M124" s="343">
        <f t="shared" si="5"/>
        <v>46.45333333333333</v>
      </c>
      <c r="N124" s="344">
        <f ca="1" t="shared" si="3"/>
        <v>184</v>
      </c>
      <c r="O124" s="358">
        <v>1</v>
      </c>
      <c r="P124" s="340" t="s">
        <v>348</v>
      </c>
    </row>
    <row r="125" spans="2:16" ht="39.75" customHeight="1">
      <c r="B125" s="25">
        <v>39051</v>
      </c>
      <c r="C125" s="340" t="s">
        <v>477</v>
      </c>
      <c r="D125" s="2" t="s">
        <v>1572</v>
      </c>
      <c r="E125" s="26" t="s">
        <v>805</v>
      </c>
      <c r="F125" s="2" t="s">
        <v>42</v>
      </c>
      <c r="G125" s="2" t="s">
        <v>1824</v>
      </c>
      <c r="H125" s="2" t="s">
        <v>143</v>
      </c>
      <c r="I125" s="356">
        <v>5011.2</v>
      </c>
      <c r="J125" s="342">
        <v>33.33</v>
      </c>
      <c r="K125" s="357">
        <f t="shared" si="4"/>
        <v>150.35103510351036</v>
      </c>
      <c r="L125" s="476">
        <v>60</v>
      </c>
      <c r="M125" s="343">
        <f t="shared" si="5"/>
        <v>83.52</v>
      </c>
      <c r="N125" s="344">
        <f ca="1" t="shared" si="3"/>
        <v>184</v>
      </c>
      <c r="O125" s="358">
        <v>1</v>
      </c>
      <c r="P125" s="340" t="s">
        <v>348</v>
      </c>
    </row>
    <row r="126" spans="2:16" ht="39.75" customHeight="1">
      <c r="B126" s="25">
        <v>39051</v>
      </c>
      <c r="C126" s="340" t="s">
        <v>477</v>
      </c>
      <c r="D126" s="2" t="s">
        <v>1545</v>
      </c>
      <c r="E126" s="26" t="s">
        <v>145</v>
      </c>
      <c r="F126" s="2" t="s">
        <v>42</v>
      </c>
      <c r="G126" s="2" t="s">
        <v>1824</v>
      </c>
      <c r="H126" s="2" t="s">
        <v>143</v>
      </c>
      <c r="I126" s="356">
        <v>11200</v>
      </c>
      <c r="J126" s="342">
        <v>33.33</v>
      </c>
      <c r="K126" s="357">
        <f t="shared" si="4"/>
        <v>336.03360336033603</v>
      </c>
      <c r="L126" s="476">
        <v>60</v>
      </c>
      <c r="M126" s="343">
        <f t="shared" si="5"/>
        <v>186.66666666666666</v>
      </c>
      <c r="N126" s="344">
        <f ca="1" t="shared" si="3"/>
        <v>184</v>
      </c>
      <c r="O126" s="358">
        <v>1</v>
      </c>
      <c r="P126" s="340" t="s">
        <v>348</v>
      </c>
    </row>
    <row r="127" spans="2:16" ht="39.75" customHeight="1">
      <c r="B127" s="25">
        <v>39051</v>
      </c>
      <c r="C127" s="340" t="s">
        <v>477</v>
      </c>
      <c r="D127" s="2" t="s">
        <v>1561</v>
      </c>
      <c r="E127" s="26" t="s">
        <v>343</v>
      </c>
      <c r="F127" s="2" t="s">
        <v>42</v>
      </c>
      <c r="G127" s="2" t="s">
        <v>1824</v>
      </c>
      <c r="H127" s="2" t="s">
        <v>143</v>
      </c>
      <c r="I127" s="356">
        <v>2880</v>
      </c>
      <c r="J127" s="342">
        <v>33.33</v>
      </c>
      <c r="K127" s="357">
        <f t="shared" si="4"/>
        <v>86.40864086408641</v>
      </c>
      <c r="L127" s="476">
        <v>60</v>
      </c>
      <c r="M127" s="343">
        <f t="shared" si="5"/>
        <v>48</v>
      </c>
      <c r="N127" s="344">
        <f ca="1" t="shared" si="3"/>
        <v>184</v>
      </c>
      <c r="O127" s="358">
        <v>1</v>
      </c>
      <c r="P127" s="340" t="s">
        <v>348</v>
      </c>
    </row>
    <row r="128" spans="2:16" ht="39.75" customHeight="1">
      <c r="B128" s="25">
        <v>39051</v>
      </c>
      <c r="C128" s="340" t="s">
        <v>477</v>
      </c>
      <c r="D128" s="2" t="s">
        <v>1562</v>
      </c>
      <c r="E128" s="26" t="s">
        <v>343</v>
      </c>
      <c r="F128" s="2" t="s">
        <v>42</v>
      </c>
      <c r="G128" s="2" t="s">
        <v>1824</v>
      </c>
      <c r="H128" s="2" t="s">
        <v>143</v>
      </c>
      <c r="I128" s="356">
        <v>2880</v>
      </c>
      <c r="J128" s="342">
        <v>33.33</v>
      </c>
      <c r="K128" s="357">
        <f t="shared" si="4"/>
        <v>86.40864086408641</v>
      </c>
      <c r="L128" s="476">
        <v>60</v>
      </c>
      <c r="M128" s="343">
        <f t="shared" si="5"/>
        <v>48</v>
      </c>
      <c r="N128" s="344">
        <f ca="1" t="shared" si="3"/>
        <v>184</v>
      </c>
      <c r="O128" s="358">
        <v>1</v>
      </c>
      <c r="P128" s="340" t="s">
        <v>348</v>
      </c>
    </row>
    <row r="129" spans="2:16" ht="39.75" customHeight="1">
      <c r="B129" s="25">
        <v>39051</v>
      </c>
      <c r="C129" s="340" t="s">
        <v>477</v>
      </c>
      <c r="D129" s="2" t="s">
        <v>1563</v>
      </c>
      <c r="E129" s="26" t="s">
        <v>343</v>
      </c>
      <c r="F129" s="2" t="s">
        <v>42</v>
      </c>
      <c r="G129" s="2" t="s">
        <v>1824</v>
      </c>
      <c r="H129" s="2" t="s">
        <v>143</v>
      </c>
      <c r="I129" s="356">
        <v>2880</v>
      </c>
      <c r="J129" s="342">
        <v>33.33</v>
      </c>
      <c r="K129" s="357">
        <f t="shared" si="4"/>
        <v>86.40864086408641</v>
      </c>
      <c r="L129" s="476">
        <v>60</v>
      </c>
      <c r="M129" s="343">
        <f t="shared" si="5"/>
        <v>48</v>
      </c>
      <c r="N129" s="344">
        <f ca="1" t="shared" si="3"/>
        <v>184</v>
      </c>
      <c r="O129" s="358">
        <v>1</v>
      </c>
      <c r="P129" s="340" t="s">
        <v>348</v>
      </c>
    </row>
    <row r="130" spans="2:16" ht="39.75" customHeight="1">
      <c r="B130" s="25">
        <v>39051</v>
      </c>
      <c r="C130" s="340" t="s">
        <v>477</v>
      </c>
      <c r="D130" s="2" t="s">
        <v>1564</v>
      </c>
      <c r="E130" s="26" t="s">
        <v>343</v>
      </c>
      <c r="F130" s="2" t="s">
        <v>42</v>
      </c>
      <c r="G130" s="2" t="s">
        <v>1824</v>
      </c>
      <c r="H130" s="2" t="s">
        <v>143</v>
      </c>
      <c r="I130" s="356">
        <v>2880</v>
      </c>
      <c r="J130" s="342">
        <v>33.33</v>
      </c>
      <c r="K130" s="357">
        <f t="shared" si="4"/>
        <v>86.40864086408641</v>
      </c>
      <c r="L130" s="476">
        <v>60</v>
      </c>
      <c r="M130" s="343">
        <f t="shared" si="5"/>
        <v>48</v>
      </c>
      <c r="N130" s="344">
        <f ca="1" t="shared" si="3"/>
        <v>184</v>
      </c>
      <c r="O130" s="358">
        <v>1</v>
      </c>
      <c r="P130" s="340" t="s">
        <v>348</v>
      </c>
    </row>
    <row r="131" spans="2:16" ht="39.75" customHeight="1">
      <c r="B131" s="25">
        <v>39051</v>
      </c>
      <c r="C131" s="340" t="s">
        <v>477</v>
      </c>
      <c r="D131" s="2" t="s">
        <v>1565</v>
      </c>
      <c r="E131" s="26" t="s">
        <v>167</v>
      </c>
      <c r="F131" s="2" t="s">
        <v>42</v>
      </c>
      <c r="G131" s="2" t="s">
        <v>1824</v>
      </c>
      <c r="H131" s="2" t="s">
        <v>143</v>
      </c>
      <c r="I131" s="356">
        <v>4343.2</v>
      </c>
      <c r="J131" s="342">
        <v>33.33</v>
      </c>
      <c r="K131" s="357">
        <f t="shared" si="4"/>
        <v>130.3090309030903</v>
      </c>
      <c r="L131" s="476">
        <v>60</v>
      </c>
      <c r="M131" s="343">
        <f t="shared" si="5"/>
        <v>72.38666666666667</v>
      </c>
      <c r="N131" s="344">
        <f ca="1" t="shared" si="3"/>
        <v>184</v>
      </c>
      <c r="O131" s="358">
        <v>1</v>
      </c>
      <c r="P131" s="340" t="s">
        <v>348</v>
      </c>
    </row>
    <row r="132" spans="2:16" ht="39.75" customHeight="1">
      <c r="B132" s="25">
        <v>39051</v>
      </c>
      <c r="C132" s="340" t="s">
        <v>477</v>
      </c>
      <c r="D132" s="2" t="s">
        <v>1566</v>
      </c>
      <c r="E132" s="26" t="s">
        <v>167</v>
      </c>
      <c r="F132" s="2" t="s">
        <v>42</v>
      </c>
      <c r="G132" s="2" t="s">
        <v>1824</v>
      </c>
      <c r="H132" s="2" t="s">
        <v>143</v>
      </c>
      <c r="I132" s="356">
        <v>4343.2</v>
      </c>
      <c r="J132" s="342">
        <v>33.33</v>
      </c>
      <c r="K132" s="357">
        <f t="shared" si="4"/>
        <v>130.3090309030903</v>
      </c>
      <c r="L132" s="476">
        <v>60</v>
      </c>
      <c r="M132" s="343">
        <f t="shared" si="5"/>
        <v>72.38666666666667</v>
      </c>
      <c r="N132" s="344">
        <f ca="1" t="shared" si="3"/>
        <v>184</v>
      </c>
      <c r="O132" s="358">
        <v>1</v>
      </c>
      <c r="P132" s="340" t="s">
        <v>348</v>
      </c>
    </row>
    <row r="133" spans="2:16" ht="39.75" customHeight="1">
      <c r="B133" s="25">
        <v>39051</v>
      </c>
      <c r="C133" s="340" t="s">
        <v>477</v>
      </c>
      <c r="D133" s="2" t="s">
        <v>1567</v>
      </c>
      <c r="E133" s="26" t="s">
        <v>167</v>
      </c>
      <c r="F133" s="2" t="s">
        <v>42</v>
      </c>
      <c r="G133" s="2" t="s">
        <v>1824</v>
      </c>
      <c r="H133" s="2" t="s">
        <v>143</v>
      </c>
      <c r="I133" s="356">
        <v>4343.2</v>
      </c>
      <c r="J133" s="342">
        <v>33.33</v>
      </c>
      <c r="K133" s="357">
        <f t="shared" si="4"/>
        <v>130.3090309030903</v>
      </c>
      <c r="L133" s="476">
        <v>60</v>
      </c>
      <c r="M133" s="343">
        <f t="shared" si="5"/>
        <v>72.38666666666667</v>
      </c>
      <c r="N133" s="344">
        <f ca="1" t="shared" si="3"/>
        <v>184</v>
      </c>
      <c r="O133" s="358">
        <v>1</v>
      </c>
      <c r="P133" s="340" t="s">
        <v>348</v>
      </c>
    </row>
    <row r="134" spans="2:16" ht="39.75" customHeight="1">
      <c r="B134" s="25">
        <v>39051</v>
      </c>
      <c r="C134" s="340" t="s">
        <v>477</v>
      </c>
      <c r="D134" s="2" t="s">
        <v>1568</v>
      </c>
      <c r="E134" s="26" t="s">
        <v>167</v>
      </c>
      <c r="F134" s="2" t="s">
        <v>42</v>
      </c>
      <c r="G134" s="2" t="s">
        <v>1824</v>
      </c>
      <c r="H134" s="2" t="s">
        <v>143</v>
      </c>
      <c r="I134" s="356">
        <v>4343.2</v>
      </c>
      <c r="J134" s="342">
        <v>33.33</v>
      </c>
      <c r="K134" s="357">
        <f t="shared" si="4"/>
        <v>130.3090309030903</v>
      </c>
      <c r="L134" s="476">
        <v>60</v>
      </c>
      <c r="M134" s="343">
        <f t="shared" si="5"/>
        <v>72.38666666666667</v>
      </c>
      <c r="N134" s="344">
        <f ca="1" t="shared" si="3"/>
        <v>184</v>
      </c>
      <c r="O134" s="358">
        <v>1</v>
      </c>
      <c r="P134" s="340" t="s">
        <v>348</v>
      </c>
    </row>
    <row r="135" spans="2:16" ht="39.75" customHeight="1">
      <c r="B135" s="25">
        <v>39051</v>
      </c>
      <c r="C135" s="340" t="s">
        <v>477</v>
      </c>
      <c r="D135" s="2" t="s">
        <v>1569</v>
      </c>
      <c r="E135" s="26" t="s">
        <v>167</v>
      </c>
      <c r="F135" s="2" t="s">
        <v>42</v>
      </c>
      <c r="G135" s="2" t="s">
        <v>1824</v>
      </c>
      <c r="H135" s="2" t="s">
        <v>143</v>
      </c>
      <c r="I135" s="356">
        <v>4343.2</v>
      </c>
      <c r="J135" s="342">
        <v>33.33</v>
      </c>
      <c r="K135" s="357">
        <f t="shared" si="4"/>
        <v>130.3090309030903</v>
      </c>
      <c r="L135" s="476">
        <v>60</v>
      </c>
      <c r="M135" s="343">
        <f t="shared" si="5"/>
        <v>72.38666666666667</v>
      </c>
      <c r="N135" s="344">
        <f ca="1" t="shared" si="3"/>
        <v>184</v>
      </c>
      <c r="O135" s="358">
        <v>1</v>
      </c>
      <c r="P135" s="340" t="s">
        <v>348</v>
      </c>
    </row>
    <row r="136" spans="2:16" ht="39.75" customHeight="1">
      <c r="B136" s="25">
        <v>39051</v>
      </c>
      <c r="C136" s="340" t="s">
        <v>477</v>
      </c>
      <c r="D136" s="2" t="s">
        <v>1570</v>
      </c>
      <c r="E136" s="26" t="s">
        <v>167</v>
      </c>
      <c r="F136" s="2" t="s">
        <v>42</v>
      </c>
      <c r="G136" s="2" t="s">
        <v>1824</v>
      </c>
      <c r="H136" s="2" t="s">
        <v>143</v>
      </c>
      <c r="I136" s="356">
        <v>4343.2</v>
      </c>
      <c r="J136" s="342">
        <v>33.33</v>
      </c>
      <c r="K136" s="357">
        <f t="shared" si="4"/>
        <v>130.3090309030903</v>
      </c>
      <c r="L136" s="476">
        <v>60</v>
      </c>
      <c r="M136" s="343">
        <f t="shared" si="5"/>
        <v>72.38666666666667</v>
      </c>
      <c r="N136" s="344">
        <f aca="true" ca="1" t="shared" si="6" ref="N136:N199">IF(B136&lt;&gt;0,(ROUND((NOW()-B136)/30,0)),0)</f>
        <v>184</v>
      </c>
      <c r="O136" s="358">
        <v>1</v>
      </c>
      <c r="P136" s="340" t="s">
        <v>348</v>
      </c>
    </row>
    <row r="137" spans="2:16" ht="39.75" customHeight="1">
      <c r="B137" s="25">
        <v>39051</v>
      </c>
      <c r="C137" s="340" t="s">
        <v>477</v>
      </c>
      <c r="D137" s="2" t="s">
        <v>1571</v>
      </c>
      <c r="E137" s="26" t="s">
        <v>167</v>
      </c>
      <c r="F137" s="2" t="s">
        <v>42</v>
      </c>
      <c r="G137" s="2" t="s">
        <v>1824</v>
      </c>
      <c r="H137" s="2" t="s">
        <v>143</v>
      </c>
      <c r="I137" s="356">
        <v>4343.2</v>
      </c>
      <c r="J137" s="342">
        <v>33.33</v>
      </c>
      <c r="K137" s="357">
        <f aca="true" t="shared" si="7" ref="K137:K200">+I137/J137</f>
        <v>130.3090309030903</v>
      </c>
      <c r="L137" s="476">
        <v>60</v>
      </c>
      <c r="M137" s="343">
        <f aca="true" t="shared" si="8" ref="M137:M200">+I137/L217</f>
        <v>72.38666666666667</v>
      </c>
      <c r="N137" s="344">
        <f ca="1" t="shared" si="6"/>
        <v>184</v>
      </c>
      <c r="O137" s="358">
        <v>1</v>
      </c>
      <c r="P137" s="340" t="s">
        <v>348</v>
      </c>
    </row>
    <row r="138" spans="2:16" ht="39.75" customHeight="1">
      <c r="B138" s="25">
        <v>39051</v>
      </c>
      <c r="C138" s="340" t="s">
        <v>477</v>
      </c>
      <c r="D138" s="2" t="s">
        <v>1572</v>
      </c>
      <c r="E138" s="26" t="s">
        <v>167</v>
      </c>
      <c r="F138" s="2" t="s">
        <v>42</v>
      </c>
      <c r="G138" s="2" t="s">
        <v>1824</v>
      </c>
      <c r="H138" s="2" t="s">
        <v>143</v>
      </c>
      <c r="I138" s="356">
        <v>4343.2</v>
      </c>
      <c r="J138" s="342">
        <v>33.33</v>
      </c>
      <c r="K138" s="357">
        <f t="shared" si="7"/>
        <v>130.3090309030903</v>
      </c>
      <c r="L138" s="476">
        <v>60</v>
      </c>
      <c r="M138" s="343">
        <f t="shared" si="8"/>
        <v>72.38666666666667</v>
      </c>
      <c r="N138" s="344">
        <f ca="1" t="shared" si="6"/>
        <v>184</v>
      </c>
      <c r="O138" s="358">
        <v>1</v>
      </c>
      <c r="P138" s="340" t="s">
        <v>348</v>
      </c>
    </row>
    <row r="139" spans="2:16" ht="39.75" customHeight="1">
      <c r="B139" s="25">
        <v>39051</v>
      </c>
      <c r="C139" s="340" t="s">
        <v>477</v>
      </c>
      <c r="D139" s="2" t="s">
        <v>1573</v>
      </c>
      <c r="E139" s="26" t="s">
        <v>150</v>
      </c>
      <c r="F139" s="2" t="s">
        <v>42</v>
      </c>
      <c r="G139" s="2" t="s">
        <v>1824</v>
      </c>
      <c r="H139" s="2" t="s">
        <v>143</v>
      </c>
      <c r="I139" s="356">
        <v>921.6</v>
      </c>
      <c r="J139" s="342">
        <v>33.33</v>
      </c>
      <c r="K139" s="357">
        <f t="shared" si="7"/>
        <v>27.650765076507653</v>
      </c>
      <c r="L139" s="476">
        <v>60</v>
      </c>
      <c r="M139" s="343">
        <f t="shared" si="8"/>
        <v>15.360000000000001</v>
      </c>
      <c r="N139" s="344">
        <f ca="1" t="shared" si="6"/>
        <v>184</v>
      </c>
      <c r="O139" s="358">
        <v>1</v>
      </c>
      <c r="P139" s="340" t="s">
        <v>348</v>
      </c>
    </row>
    <row r="140" spans="2:16" ht="39.75" customHeight="1">
      <c r="B140" s="25">
        <v>39051</v>
      </c>
      <c r="C140" s="340" t="s">
        <v>477</v>
      </c>
      <c r="D140" s="2" t="s">
        <v>1574</v>
      </c>
      <c r="E140" s="26" t="s">
        <v>150</v>
      </c>
      <c r="F140" s="2" t="s">
        <v>42</v>
      </c>
      <c r="G140" s="2" t="s">
        <v>1824</v>
      </c>
      <c r="H140" s="2" t="s">
        <v>143</v>
      </c>
      <c r="I140" s="356">
        <v>921.6</v>
      </c>
      <c r="J140" s="342">
        <v>33.33</v>
      </c>
      <c r="K140" s="357">
        <f t="shared" si="7"/>
        <v>27.650765076507653</v>
      </c>
      <c r="L140" s="476">
        <v>60</v>
      </c>
      <c r="M140" s="343">
        <f t="shared" si="8"/>
        <v>15.360000000000001</v>
      </c>
      <c r="N140" s="344">
        <f ca="1" t="shared" si="6"/>
        <v>184</v>
      </c>
      <c r="O140" s="358">
        <v>1</v>
      </c>
      <c r="P140" s="340" t="s">
        <v>348</v>
      </c>
    </row>
    <row r="141" spans="2:16" ht="39.75" customHeight="1">
      <c r="B141" s="25">
        <v>39051</v>
      </c>
      <c r="C141" s="340" t="s">
        <v>477</v>
      </c>
      <c r="D141" s="2" t="s">
        <v>1575</v>
      </c>
      <c r="E141" s="26" t="s">
        <v>150</v>
      </c>
      <c r="F141" s="2" t="s">
        <v>42</v>
      </c>
      <c r="G141" s="2" t="s">
        <v>1824</v>
      </c>
      <c r="H141" s="2" t="s">
        <v>143</v>
      </c>
      <c r="I141" s="356">
        <v>921.6</v>
      </c>
      <c r="J141" s="342">
        <v>33.33</v>
      </c>
      <c r="K141" s="357">
        <f t="shared" si="7"/>
        <v>27.650765076507653</v>
      </c>
      <c r="L141" s="476">
        <v>60</v>
      </c>
      <c r="M141" s="343">
        <f t="shared" si="8"/>
        <v>15.360000000000001</v>
      </c>
      <c r="N141" s="344">
        <f ca="1" t="shared" si="6"/>
        <v>184</v>
      </c>
      <c r="O141" s="358">
        <v>1</v>
      </c>
      <c r="P141" s="340" t="s">
        <v>348</v>
      </c>
    </row>
    <row r="142" spans="2:16" ht="39.75" customHeight="1">
      <c r="B142" s="25">
        <v>39051</v>
      </c>
      <c r="C142" s="340" t="s">
        <v>477</v>
      </c>
      <c r="D142" s="2" t="s">
        <v>1576</v>
      </c>
      <c r="E142" s="26" t="s">
        <v>150</v>
      </c>
      <c r="F142" s="2" t="s">
        <v>42</v>
      </c>
      <c r="G142" s="2" t="s">
        <v>1824</v>
      </c>
      <c r="H142" s="2" t="s">
        <v>143</v>
      </c>
      <c r="I142" s="356">
        <v>921.6</v>
      </c>
      <c r="J142" s="342">
        <v>33.33</v>
      </c>
      <c r="K142" s="357">
        <f t="shared" si="7"/>
        <v>27.650765076507653</v>
      </c>
      <c r="L142" s="476">
        <v>60</v>
      </c>
      <c r="M142" s="343">
        <f t="shared" si="8"/>
        <v>15.360000000000001</v>
      </c>
      <c r="N142" s="344">
        <f ca="1" t="shared" si="6"/>
        <v>184</v>
      </c>
      <c r="O142" s="358">
        <v>1</v>
      </c>
      <c r="P142" s="340" t="s">
        <v>348</v>
      </c>
    </row>
    <row r="143" spans="2:16" ht="39.75" customHeight="1">
      <c r="B143" s="25">
        <v>39051</v>
      </c>
      <c r="C143" s="340" t="s">
        <v>477</v>
      </c>
      <c r="D143" s="2" t="s">
        <v>1577</v>
      </c>
      <c r="E143" s="26" t="s">
        <v>150</v>
      </c>
      <c r="F143" s="2" t="s">
        <v>42</v>
      </c>
      <c r="G143" s="2" t="s">
        <v>1824</v>
      </c>
      <c r="H143" s="2" t="s">
        <v>143</v>
      </c>
      <c r="I143" s="356">
        <v>921.6</v>
      </c>
      <c r="J143" s="342">
        <v>33.33</v>
      </c>
      <c r="K143" s="357">
        <f t="shared" si="7"/>
        <v>27.650765076507653</v>
      </c>
      <c r="L143" s="476">
        <v>60</v>
      </c>
      <c r="M143" s="343">
        <f t="shared" si="8"/>
        <v>15.360000000000001</v>
      </c>
      <c r="N143" s="344">
        <f ca="1" t="shared" si="6"/>
        <v>184</v>
      </c>
      <c r="O143" s="358">
        <v>1</v>
      </c>
      <c r="P143" s="340" t="s">
        <v>348</v>
      </c>
    </row>
    <row r="144" spans="2:16" ht="39.75" customHeight="1">
      <c r="B144" s="25">
        <v>39051</v>
      </c>
      <c r="C144" s="340" t="s">
        <v>477</v>
      </c>
      <c r="D144" s="2" t="s">
        <v>1578</v>
      </c>
      <c r="E144" s="26" t="s">
        <v>150</v>
      </c>
      <c r="F144" s="2" t="s">
        <v>42</v>
      </c>
      <c r="G144" s="2" t="s">
        <v>1824</v>
      </c>
      <c r="H144" s="2" t="s">
        <v>143</v>
      </c>
      <c r="I144" s="356">
        <v>921.6</v>
      </c>
      <c r="J144" s="342">
        <v>33.33</v>
      </c>
      <c r="K144" s="357">
        <f t="shared" si="7"/>
        <v>27.650765076507653</v>
      </c>
      <c r="L144" s="476">
        <v>60</v>
      </c>
      <c r="M144" s="343">
        <f t="shared" si="8"/>
        <v>15.360000000000001</v>
      </c>
      <c r="N144" s="344">
        <f ca="1" t="shared" si="6"/>
        <v>184</v>
      </c>
      <c r="O144" s="358">
        <v>1</v>
      </c>
      <c r="P144" s="340" t="s">
        <v>348</v>
      </c>
    </row>
    <row r="145" spans="2:16" ht="39.75" customHeight="1">
      <c r="B145" s="25">
        <v>39051</v>
      </c>
      <c r="C145" s="340" t="s">
        <v>477</v>
      </c>
      <c r="D145" s="2" t="s">
        <v>1579</v>
      </c>
      <c r="E145" s="26" t="s">
        <v>150</v>
      </c>
      <c r="F145" s="2" t="s">
        <v>42</v>
      </c>
      <c r="G145" s="2" t="s">
        <v>1824</v>
      </c>
      <c r="H145" s="2" t="s">
        <v>143</v>
      </c>
      <c r="I145" s="356">
        <v>921.6</v>
      </c>
      <c r="J145" s="342">
        <v>33.33</v>
      </c>
      <c r="K145" s="357">
        <f t="shared" si="7"/>
        <v>27.650765076507653</v>
      </c>
      <c r="L145" s="476">
        <v>60</v>
      </c>
      <c r="M145" s="343">
        <f t="shared" si="8"/>
        <v>15.360000000000001</v>
      </c>
      <c r="N145" s="344">
        <f ca="1" t="shared" si="6"/>
        <v>184</v>
      </c>
      <c r="O145" s="358">
        <v>1</v>
      </c>
      <c r="P145" s="340" t="s">
        <v>348</v>
      </c>
    </row>
    <row r="146" spans="2:16" ht="39.75" customHeight="1">
      <c r="B146" s="25">
        <v>39051</v>
      </c>
      <c r="C146" s="340" t="s">
        <v>477</v>
      </c>
      <c r="D146" s="2" t="s">
        <v>1580</v>
      </c>
      <c r="E146" s="26" t="s">
        <v>150</v>
      </c>
      <c r="F146" s="2" t="s">
        <v>42</v>
      </c>
      <c r="G146" s="2" t="s">
        <v>1824</v>
      </c>
      <c r="H146" s="2" t="s">
        <v>143</v>
      </c>
      <c r="I146" s="356">
        <v>921.6</v>
      </c>
      <c r="J146" s="342">
        <v>33.33</v>
      </c>
      <c r="K146" s="357">
        <f t="shared" si="7"/>
        <v>27.650765076507653</v>
      </c>
      <c r="L146" s="476">
        <v>60</v>
      </c>
      <c r="M146" s="343">
        <f t="shared" si="8"/>
        <v>15.360000000000001</v>
      </c>
      <c r="N146" s="344">
        <f ca="1" t="shared" si="6"/>
        <v>184</v>
      </c>
      <c r="O146" s="358">
        <v>1</v>
      </c>
      <c r="P146" s="340" t="s">
        <v>348</v>
      </c>
    </row>
    <row r="147" spans="2:16" ht="39.75" customHeight="1">
      <c r="B147" s="25">
        <v>39051</v>
      </c>
      <c r="C147" s="340" t="s">
        <v>477</v>
      </c>
      <c r="D147" s="2" t="s">
        <v>1581</v>
      </c>
      <c r="E147" s="26" t="s">
        <v>150</v>
      </c>
      <c r="F147" s="2" t="s">
        <v>42</v>
      </c>
      <c r="G147" s="2" t="s">
        <v>1824</v>
      </c>
      <c r="H147" s="2" t="s">
        <v>143</v>
      </c>
      <c r="I147" s="356">
        <v>921.6</v>
      </c>
      <c r="J147" s="342">
        <v>33.33</v>
      </c>
      <c r="K147" s="357">
        <f t="shared" si="7"/>
        <v>27.650765076507653</v>
      </c>
      <c r="L147" s="476">
        <v>60</v>
      </c>
      <c r="M147" s="343">
        <f t="shared" si="8"/>
        <v>15.360000000000001</v>
      </c>
      <c r="N147" s="344">
        <f ca="1" t="shared" si="6"/>
        <v>184</v>
      </c>
      <c r="O147" s="358">
        <v>1</v>
      </c>
      <c r="P147" s="340" t="s">
        <v>348</v>
      </c>
    </row>
    <row r="148" spans="2:16" ht="39.75" customHeight="1">
      <c r="B148" s="25">
        <v>39051</v>
      </c>
      <c r="C148" s="340" t="s">
        <v>477</v>
      </c>
      <c r="D148" s="2" t="s">
        <v>1582</v>
      </c>
      <c r="E148" s="26" t="s">
        <v>150</v>
      </c>
      <c r="F148" s="2" t="s">
        <v>42</v>
      </c>
      <c r="G148" s="2" t="s">
        <v>1824</v>
      </c>
      <c r="H148" s="2" t="s">
        <v>143</v>
      </c>
      <c r="I148" s="356">
        <v>921.6</v>
      </c>
      <c r="J148" s="342">
        <v>33.33</v>
      </c>
      <c r="K148" s="357">
        <f t="shared" si="7"/>
        <v>27.650765076507653</v>
      </c>
      <c r="L148" s="476">
        <v>60</v>
      </c>
      <c r="M148" s="343">
        <f t="shared" si="8"/>
        <v>15.360000000000001</v>
      </c>
      <c r="N148" s="344">
        <f ca="1" t="shared" si="6"/>
        <v>184</v>
      </c>
      <c r="O148" s="358">
        <v>1</v>
      </c>
      <c r="P148" s="340" t="s">
        <v>348</v>
      </c>
    </row>
    <row r="149" spans="2:16" ht="39.75" customHeight="1">
      <c r="B149" s="25">
        <v>39051</v>
      </c>
      <c r="C149" s="340" t="s">
        <v>477</v>
      </c>
      <c r="D149" s="2" t="s">
        <v>1583</v>
      </c>
      <c r="E149" s="26" t="s">
        <v>150</v>
      </c>
      <c r="F149" s="2" t="s">
        <v>42</v>
      </c>
      <c r="G149" s="2" t="s">
        <v>1824</v>
      </c>
      <c r="H149" s="2" t="s">
        <v>143</v>
      </c>
      <c r="I149" s="356">
        <v>921.6</v>
      </c>
      <c r="J149" s="342">
        <v>33.33</v>
      </c>
      <c r="K149" s="357">
        <f t="shared" si="7"/>
        <v>27.650765076507653</v>
      </c>
      <c r="L149" s="476">
        <v>60</v>
      </c>
      <c r="M149" s="343">
        <f t="shared" si="8"/>
        <v>15.360000000000001</v>
      </c>
      <c r="N149" s="344">
        <f ca="1" t="shared" si="6"/>
        <v>184</v>
      </c>
      <c r="O149" s="358">
        <v>1</v>
      </c>
      <c r="P149" s="340" t="s">
        <v>348</v>
      </c>
    </row>
    <row r="150" spans="2:16" ht="39.75" customHeight="1">
      <c r="B150" s="25">
        <v>39051</v>
      </c>
      <c r="C150" s="340" t="s">
        <v>477</v>
      </c>
      <c r="D150" s="2" t="s">
        <v>1584</v>
      </c>
      <c r="E150" s="26" t="s">
        <v>150</v>
      </c>
      <c r="F150" s="2" t="s">
        <v>42</v>
      </c>
      <c r="G150" s="2" t="s">
        <v>1824</v>
      </c>
      <c r="H150" s="2" t="s">
        <v>143</v>
      </c>
      <c r="I150" s="356">
        <v>921.6</v>
      </c>
      <c r="J150" s="342">
        <v>33.33</v>
      </c>
      <c r="K150" s="357">
        <f t="shared" si="7"/>
        <v>27.650765076507653</v>
      </c>
      <c r="L150" s="476">
        <v>60</v>
      </c>
      <c r="M150" s="343">
        <f t="shared" si="8"/>
        <v>15.360000000000001</v>
      </c>
      <c r="N150" s="344">
        <f ca="1" t="shared" si="6"/>
        <v>184</v>
      </c>
      <c r="O150" s="358">
        <v>1</v>
      </c>
      <c r="P150" s="340" t="s">
        <v>348</v>
      </c>
    </row>
    <row r="151" spans="2:16" ht="39.75" customHeight="1">
      <c r="B151" s="25">
        <v>39051</v>
      </c>
      <c r="C151" s="340" t="s">
        <v>477</v>
      </c>
      <c r="D151" s="2" t="s">
        <v>1585</v>
      </c>
      <c r="E151" s="26" t="s">
        <v>150</v>
      </c>
      <c r="F151" s="2" t="s">
        <v>42</v>
      </c>
      <c r="G151" s="2" t="s">
        <v>1824</v>
      </c>
      <c r="H151" s="2" t="s">
        <v>143</v>
      </c>
      <c r="I151" s="356">
        <v>921.6</v>
      </c>
      <c r="J151" s="342">
        <v>33.33</v>
      </c>
      <c r="K151" s="357">
        <f t="shared" si="7"/>
        <v>27.650765076507653</v>
      </c>
      <c r="L151" s="476">
        <v>60</v>
      </c>
      <c r="M151" s="343">
        <f t="shared" si="8"/>
        <v>15.360000000000001</v>
      </c>
      <c r="N151" s="344">
        <f ca="1" t="shared" si="6"/>
        <v>184</v>
      </c>
      <c r="O151" s="358">
        <v>1</v>
      </c>
      <c r="P151" s="340" t="s">
        <v>348</v>
      </c>
    </row>
    <row r="152" spans="2:16" ht="39.75" customHeight="1">
      <c r="B152" s="25">
        <v>39051</v>
      </c>
      <c r="C152" s="340" t="s">
        <v>477</v>
      </c>
      <c r="D152" s="2" t="s">
        <v>1586</v>
      </c>
      <c r="E152" s="26" t="s">
        <v>150</v>
      </c>
      <c r="F152" s="2" t="s">
        <v>42</v>
      </c>
      <c r="G152" s="2" t="s">
        <v>1824</v>
      </c>
      <c r="H152" s="2" t="s">
        <v>143</v>
      </c>
      <c r="I152" s="356">
        <v>921.6</v>
      </c>
      <c r="J152" s="342">
        <v>33.33</v>
      </c>
      <c r="K152" s="357">
        <f t="shared" si="7"/>
        <v>27.650765076507653</v>
      </c>
      <c r="L152" s="476">
        <v>60</v>
      </c>
      <c r="M152" s="343">
        <f t="shared" si="8"/>
        <v>15.360000000000001</v>
      </c>
      <c r="N152" s="344">
        <f ca="1" t="shared" si="6"/>
        <v>184</v>
      </c>
      <c r="O152" s="358">
        <v>1</v>
      </c>
      <c r="P152" s="340" t="s">
        <v>348</v>
      </c>
    </row>
    <row r="153" spans="2:16" ht="39.75" customHeight="1">
      <c r="B153" s="25">
        <v>39051</v>
      </c>
      <c r="C153" s="340" t="s">
        <v>477</v>
      </c>
      <c r="D153" s="2" t="s">
        <v>1587</v>
      </c>
      <c r="E153" s="26" t="s">
        <v>150</v>
      </c>
      <c r="F153" s="2" t="s">
        <v>42</v>
      </c>
      <c r="G153" s="2" t="s">
        <v>1824</v>
      </c>
      <c r="H153" s="2" t="s">
        <v>143</v>
      </c>
      <c r="I153" s="356">
        <v>921.6</v>
      </c>
      <c r="J153" s="342">
        <v>33.33</v>
      </c>
      <c r="K153" s="357">
        <f t="shared" si="7"/>
        <v>27.650765076507653</v>
      </c>
      <c r="L153" s="476">
        <v>60</v>
      </c>
      <c r="M153" s="343">
        <f t="shared" si="8"/>
        <v>15.360000000000001</v>
      </c>
      <c r="N153" s="344">
        <f ca="1" t="shared" si="6"/>
        <v>184</v>
      </c>
      <c r="O153" s="358">
        <v>1</v>
      </c>
      <c r="P153" s="340" t="s">
        <v>348</v>
      </c>
    </row>
    <row r="154" spans="2:16" ht="39.75" customHeight="1">
      <c r="B154" s="25">
        <v>39051</v>
      </c>
      <c r="C154" s="340" t="s">
        <v>477</v>
      </c>
      <c r="D154" s="2" t="s">
        <v>1588</v>
      </c>
      <c r="E154" s="26" t="s">
        <v>150</v>
      </c>
      <c r="F154" s="2" t="s">
        <v>42</v>
      </c>
      <c r="G154" s="2" t="s">
        <v>1824</v>
      </c>
      <c r="H154" s="2" t="s">
        <v>143</v>
      </c>
      <c r="I154" s="356">
        <v>921.6</v>
      </c>
      <c r="J154" s="342">
        <v>33.33</v>
      </c>
      <c r="K154" s="357">
        <f t="shared" si="7"/>
        <v>27.650765076507653</v>
      </c>
      <c r="L154" s="476">
        <v>60</v>
      </c>
      <c r="M154" s="343">
        <f t="shared" si="8"/>
        <v>15.360000000000001</v>
      </c>
      <c r="N154" s="344">
        <f ca="1" t="shared" si="6"/>
        <v>184</v>
      </c>
      <c r="O154" s="358">
        <v>1</v>
      </c>
      <c r="P154" s="340" t="s">
        <v>348</v>
      </c>
    </row>
    <row r="155" spans="2:16" ht="39.75" customHeight="1">
      <c r="B155" s="25">
        <v>39051</v>
      </c>
      <c r="C155" s="340" t="s">
        <v>477</v>
      </c>
      <c r="D155" s="2" t="s">
        <v>1589</v>
      </c>
      <c r="E155" s="26" t="s">
        <v>150</v>
      </c>
      <c r="F155" s="2" t="s">
        <v>42</v>
      </c>
      <c r="G155" s="2" t="s">
        <v>1824</v>
      </c>
      <c r="H155" s="2" t="s">
        <v>143</v>
      </c>
      <c r="I155" s="356">
        <v>921.6</v>
      </c>
      <c r="J155" s="342">
        <v>33.33</v>
      </c>
      <c r="K155" s="357">
        <f t="shared" si="7"/>
        <v>27.650765076507653</v>
      </c>
      <c r="L155" s="476">
        <v>60</v>
      </c>
      <c r="M155" s="343">
        <f t="shared" si="8"/>
        <v>15.360000000000001</v>
      </c>
      <c r="N155" s="344">
        <f ca="1" t="shared" si="6"/>
        <v>184</v>
      </c>
      <c r="O155" s="358">
        <v>1</v>
      </c>
      <c r="P155" s="340" t="s">
        <v>348</v>
      </c>
    </row>
    <row r="156" spans="2:16" ht="39.75" customHeight="1">
      <c r="B156" s="25">
        <v>39051</v>
      </c>
      <c r="C156" s="340" t="s">
        <v>477</v>
      </c>
      <c r="D156" s="2" t="s">
        <v>1590</v>
      </c>
      <c r="E156" s="26" t="s">
        <v>150</v>
      </c>
      <c r="F156" s="2" t="s">
        <v>42</v>
      </c>
      <c r="G156" s="2" t="s">
        <v>1824</v>
      </c>
      <c r="H156" s="2" t="s">
        <v>143</v>
      </c>
      <c r="I156" s="356">
        <v>921.6</v>
      </c>
      <c r="J156" s="342">
        <v>33.33</v>
      </c>
      <c r="K156" s="357">
        <f t="shared" si="7"/>
        <v>27.650765076507653</v>
      </c>
      <c r="L156" s="476">
        <v>60</v>
      </c>
      <c r="M156" s="343">
        <f t="shared" si="8"/>
        <v>15.360000000000001</v>
      </c>
      <c r="N156" s="344">
        <f ca="1" t="shared" si="6"/>
        <v>184</v>
      </c>
      <c r="O156" s="358">
        <v>1</v>
      </c>
      <c r="P156" s="340" t="s">
        <v>348</v>
      </c>
    </row>
    <row r="157" spans="2:16" ht="39.75" customHeight="1">
      <c r="B157" s="25">
        <v>39051</v>
      </c>
      <c r="C157" s="340" t="s">
        <v>477</v>
      </c>
      <c r="D157" s="2" t="s">
        <v>1591</v>
      </c>
      <c r="E157" s="26" t="s">
        <v>150</v>
      </c>
      <c r="F157" s="2" t="s">
        <v>42</v>
      </c>
      <c r="G157" s="2" t="s">
        <v>1824</v>
      </c>
      <c r="H157" s="2" t="s">
        <v>143</v>
      </c>
      <c r="I157" s="356">
        <v>921.6</v>
      </c>
      <c r="J157" s="342">
        <v>33.33</v>
      </c>
      <c r="K157" s="357">
        <f t="shared" si="7"/>
        <v>27.650765076507653</v>
      </c>
      <c r="L157" s="476">
        <v>60</v>
      </c>
      <c r="M157" s="343">
        <f t="shared" si="8"/>
        <v>15.360000000000001</v>
      </c>
      <c r="N157" s="344">
        <f ca="1" t="shared" si="6"/>
        <v>184</v>
      </c>
      <c r="O157" s="358">
        <v>1</v>
      </c>
      <c r="P157" s="340" t="s">
        <v>348</v>
      </c>
    </row>
    <row r="158" spans="2:16" ht="39.75" customHeight="1">
      <c r="B158" s="25">
        <v>39051</v>
      </c>
      <c r="C158" s="340" t="s">
        <v>477</v>
      </c>
      <c r="D158" s="2" t="s">
        <v>1592</v>
      </c>
      <c r="E158" s="26" t="s">
        <v>150</v>
      </c>
      <c r="F158" s="2" t="s">
        <v>42</v>
      </c>
      <c r="G158" s="2" t="s">
        <v>1824</v>
      </c>
      <c r="H158" s="2" t="s">
        <v>143</v>
      </c>
      <c r="I158" s="356">
        <v>921.6</v>
      </c>
      <c r="J158" s="342">
        <v>33.33</v>
      </c>
      <c r="K158" s="357">
        <f t="shared" si="7"/>
        <v>27.650765076507653</v>
      </c>
      <c r="L158" s="476">
        <v>60</v>
      </c>
      <c r="M158" s="343">
        <f t="shared" si="8"/>
        <v>15.360000000000001</v>
      </c>
      <c r="N158" s="344">
        <f ca="1" t="shared" si="6"/>
        <v>184</v>
      </c>
      <c r="O158" s="358">
        <v>1</v>
      </c>
      <c r="P158" s="340" t="s">
        <v>348</v>
      </c>
    </row>
    <row r="159" spans="2:16" ht="39.75" customHeight="1">
      <c r="B159" s="25">
        <v>39051</v>
      </c>
      <c r="C159" s="340" t="s">
        <v>477</v>
      </c>
      <c r="D159" s="2" t="s">
        <v>1593</v>
      </c>
      <c r="E159" s="26" t="s">
        <v>150</v>
      </c>
      <c r="F159" s="2" t="s">
        <v>42</v>
      </c>
      <c r="G159" s="2" t="s">
        <v>1824</v>
      </c>
      <c r="H159" s="2" t="s">
        <v>143</v>
      </c>
      <c r="I159" s="356">
        <v>921.6</v>
      </c>
      <c r="J159" s="342">
        <v>33.33</v>
      </c>
      <c r="K159" s="357">
        <f t="shared" si="7"/>
        <v>27.650765076507653</v>
      </c>
      <c r="L159" s="476">
        <v>60</v>
      </c>
      <c r="M159" s="343">
        <f t="shared" si="8"/>
        <v>15.360000000000001</v>
      </c>
      <c r="N159" s="344">
        <f ca="1" t="shared" si="6"/>
        <v>184</v>
      </c>
      <c r="O159" s="358">
        <v>1</v>
      </c>
      <c r="P159" s="340" t="s">
        <v>348</v>
      </c>
    </row>
    <row r="160" spans="2:16" ht="39.75" customHeight="1">
      <c r="B160" s="25">
        <v>39051</v>
      </c>
      <c r="C160" s="340" t="s">
        <v>477</v>
      </c>
      <c r="D160" s="2" t="s">
        <v>1594</v>
      </c>
      <c r="E160" s="26" t="s">
        <v>150</v>
      </c>
      <c r="F160" s="2" t="s">
        <v>42</v>
      </c>
      <c r="G160" s="2" t="s">
        <v>1824</v>
      </c>
      <c r="H160" s="2" t="s">
        <v>143</v>
      </c>
      <c r="I160" s="356">
        <v>921.6</v>
      </c>
      <c r="J160" s="342">
        <v>33.33</v>
      </c>
      <c r="K160" s="357">
        <f t="shared" si="7"/>
        <v>27.650765076507653</v>
      </c>
      <c r="L160" s="476">
        <v>60</v>
      </c>
      <c r="M160" s="343">
        <f t="shared" si="8"/>
        <v>15.360000000000001</v>
      </c>
      <c r="N160" s="344">
        <f ca="1" t="shared" si="6"/>
        <v>184</v>
      </c>
      <c r="O160" s="358">
        <v>1</v>
      </c>
      <c r="P160" s="340" t="s">
        <v>348</v>
      </c>
    </row>
    <row r="161" spans="2:16" ht="39.75" customHeight="1">
      <c r="B161" s="25">
        <v>39051</v>
      </c>
      <c r="C161" s="340" t="s">
        <v>477</v>
      </c>
      <c r="D161" s="2" t="s">
        <v>1595</v>
      </c>
      <c r="E161" s="26" t="s">
        <v>150</v>
      </c>
      <c r="F161" s="2" t="s">
        <v>42</v>
      </c>
      <c r="G161" s="2" t="s">
        <v>1824</v>
      </c>
      <c r="H161" s="2" t="s">
        <v>143</v>
      </c>
      <c r="I161" s="356">
        <v>921.6</v>
      </c>
      <c r="J161" s="342">
        <v>33.33</v>
      </c>
      <c r="K161" s="357">
        <f t="shared" si="7"/>
        <v>27.650765076507653</v>
      </c>
      <c r="L161" s="476">
        <v>60</v>
      </c>
      <c r="M161" s="343">
        <f t="shared" si="8"/>
        <v>15.360000000000001</v>
      </c>
      <c r="N161" s="344">
        <f ca="1" t="shared" si="6"/>
        <v>184</v>
      </c>
      <c r="O161" s="358">
        <v>1</v>
      </c>
      <c r="P161" s="340" t="s">
        <v>348</v>
      </c>
    </row>
    <row r="162" spans="2:16" ht="39.75" customHeight="1">
      <c r="B162" s="25">
        <v>39051</v>
      </c>
      <c r="C162" s="340" t="s">
        <v>477</v>
      </c>
      <c r="D162" s="2" t="s">
        <v>1596</v>
      </c>
      <c r="E162" s="26" t="s">
        <v>150</v>
      </c>
      <c r="F162" s="2" t="s">
        <v>42</v>
      </c>
      <c r="G162" s="2" t="s">
        <v>1824</v>
      </c>
      <c r="H162" s="2" t="s">
        <v>143</v>
      </c>
      <c r="I162" s="356">
        <v>921.6</v>
      </c>
      <c r="J162" s="342">
        <v>33.33</v>
      </c>
      <c r="K162" s="357">
        <f t="shared" si="7"/>
        <v>27.650765076507653</v>
      </c>
      <c r="L162" s="476">
        <v>60</v>
      </c>
      <c r="M162" s="343">
        <f t="shared" si="8"/>
        <v>15.360000000000001</v>
      </c>
      <c r="N162" s="344">
        <f ca="1" t="shared" si="6"/>
        <v>184</v>
      </c>
      <c r="O162" s="358">
        <v>1</v>
      </c>
      <c r="P162" s="340" t="s">
        <v>348</v>
      </c>
    </row>
    <row r="163" spans="2:16" ht="39.75" customHeight="1">
      <c r="B163" s="25">
        <v>39051</v>
      </c>
      <c r="C163" s="340" t="s">
        <v>477</v>
      </c>
      <c r="D163" s="2" t="s">
        <v>1597</v>
      </c>
      <c r="E163" s="26" t="s">
        <v>150</v>
      </c>
      <c r="F163" s="2" t="s">
        <v>42</v>
      </c>
      <c r="G163" s="2" t="s">
        <v>1824</v>
      </c>
      <c r="H163" s="2" t="s">
        <v>143</v>
      </c>
      <c r="I163" s="356">
        <v>921.6</v>
      </c>
      <c r="J163" s="342">
        <v>33.33</v>
      </c>
      <c r="K163" s="357">
        <f t="shared" si="7"/>
        <v>27.650765076507653</v>
      </c>
      <c r="L163" s="476">
        <v>60</v>
      </c>
      <c r="M163" s="343">
        <f t="shared" si="8"/>
        <v>15.360000000000001</v>
      </c>
      <c r="N163" s="344">
        <f ca="1" t="shared" si="6"/>
        <v>184</v>
      </c>
      <c r="O163" s="358">
        <v>1</v>
      </c>
      <c r="P163" s="340" t="s">
        <v>348</v>
      </c>
    </row>
    <row r="164" spans="2:16" ht="39.75" customHeight="1">
      <c r="B164" s="25">
        <v>39051</v>
      </c>
      <c r="C164" s="340" t="s">
        <v>477</v>
      </c>
      <c r="D164" s="2" t="s">
        <v>1598</v>
      </c>
      <c r="E164" s="26" t="s">
        <v>150</v>
      </c>
      <c r="F164" s="2" t="s">
        <v>42</v>
      </c>
      <c r="G164" s="2" t="s">
        <v>1824</v>
      </c>
      <c r="H164" s="2" t="s">
        <v>143</v>
      </c>
      <c r="I164" s="356">
        <v>921.6</v>
      </c>
      <c r="J164" s="342">
        <v>33.33</v>
      </c>
      <c r="K164" s="357">
        <f t="shared" si="7"/>
        <v>27.650765076507653</v>
      </c>
      <c r="L164" s="476">
        <v>60</v>
      </c>
      <c r="M164" s="343">
        <f t="shared" si="8"/>
        <v>15.360000000000001</v>
      </c>
      <c r="N164" s="344">
        <f ca="1" t="shared" si="6"/>
        <v>184</v>
      </c>
      <c r="O164" s="358">
        <v>1</v>
      </c>
      <c r="P164" s="340" t="s">
        <v>348</v>
      </c>
    </row>
    <row r="165" spans="2:16" ht="39.75" customHeight="1">
      <c r="B165" s="25">
        <v>39051</v>
      </c>
      <c r="C165" s="340" t="s">
        <v>477</v>
      </c>
      <c r="D165" s="2" t="s">
        <v>1599</v>
      </c>
      <c r="E165" s="26" t="s">
        <v>150</v>
      </c>
      <c r="F165" s="2" t="s">
        <v>42</v>
      </c>
      <c r="G165" s="2" t="s">
        <v>1824</v>
      </c>
      <c r="H165" s="2" t="s">
        <v>143</v>
      </c>
      <c r="I165" s="356">
        <v>921.6</v>
      </c>
      <c r="J165" s="342">
        <v>33.33</v>
      </c>
      <c r="K165" s="357">
        <f t="shared" si="7"/>
        <v>27.650765076507653</v>
      </c>
      <c r="L165" s="476">
        <v>60</v>
      </c>
      <c r="M165" s="343">
        <f t="shared" si="8"/>
        <v>15.360000000000001</v>
      </c>
      <c r="N165" s="344">
        <f ca="1" t="shared" si="6"/>
        <v>184</v>
      </c>
      <c r="O165" s="358">
        <v>1</v>
      </c>
      <c r="P165" s="340" t="s">
        <v>348</v>
      </c>
    </row>
    <row r="166" spans="2:16" ht="39.75" customHeight="1">
      <c r="B166" s="25">
        <v>39051</v>
      </c>
      <c r="C166" s="340" t="s">
        <v>477</v>
      </c>
      <c r="D166" s="2" t="s">
        <v>1554</v>
      </c>
      <c r="E166" s="26" t="s">
        <v>150</v>
      </c>
      <c r="F166" s="2" t="s">
        <v>42</v>
      </c>
      <c r="G166" s="2" t="s">
        <v>1824</v>
      </c>
      <c r="H166" s="2" t="s">
        <v>143</v>
      </c>
      <c r="I166" s="356">
        <v>921.6</v>
      </c>
      <c r="J166" s="342">
        <v>33.33</v>
      </c>
      <c r="K166" s="357">
        <f t="shared" si="7"/>
        <v>27.650765076507653</v>
      </c>
      <c r="L166" s="476">
        <v>60</v>
      </c>
      <c r="M166" s="343">
        <f t="shared" si="8"/>
        <v>15.360000000000001</v>
      </c>
      <c r="N166" s="344">
        <f ca="1" t="shared" si="6"/>
        <v>184</v>
      </c>
      <c r="O166" s="358">
        <v>1</v>
      </c>
      <c r="P166" s="340" t="s">
        <v>348</v>
      </c>
    </row>
    <row r="167" spans="2:16" ht="39.75" customHeight="1">
      <c r="B167" s="25">
        <v>39051</v>
      </c>
      <c r="C167" s="340" t="s">
        <v>477</v>
      </c>
      <c r="D167" s="2" t="s">
        <v>1600</v>
      </c>
      <c r="E167" s="26" t="s">
        <v>150</v>
      </c>
      <c r="F167" s="2" t="s">
        <v>42</v>
      </c>
      <c r="G167" s="2" t="s">
        <v>1824</v>
      </c>
      <c r="H167" s="2" t="s">
        <v>143</v>
      </c>
      <c r="I167" s="356">
        <v>921.6</v>
      </c>
      <c r="J167" s="342">
        <v>33.33</v>
      </c>
      <c r="K167" s="357">
        <f t="shared" si="7"/>
        <v>27.650765076507653</v>
      </c>
      <c r="L167" s="476">
        <v>60</v>
      </c>
      <c r="M167" s="343">
        <f t="shared" si="8"/>
        <v>15.360000000000001</v>
      </c>
      <c r="N167" s="344">
        <f ca="1" t="shared" si="6"/>
        <v>184</v>
      </c>
      <c r="O167" s="358">
        <v>1</v>
      </c>
      <c r="P167" s="340" t="s">
        <v>348</v>
      </c>
    </row>
    <row r="168" spans="2:16" ht="39.75" customHeight="1">
      <c r="B168" s="25">
        <v>39051</v>
      </c>
      <c r="C168" s="340" t="s">
        <v>477</v>
      </c>
      <c r="D168" s="2" t="s">
        <v>1601</v>
      </c>
      <c r="E168" s="26" t="s">
        <v>150</v>
      </c>
      <c r="F168" s="2" t="s">
        <v>42</v>
      </c>
      <c r="G168" s="2" t="s">
        <v>1824</v>
      </c>
      <c r="H168" s="2" t="s">
        <v>143</v>
      </c>
      <c r="I168" s="356">
        <v>921.6</v>
      </c>
      <c r="J168" s="342">
        <v>33.33</v>
      </c>
      <c r="K168" s="357">
        <f t="shared" si="7"/>
        <v>27.650765076507653</v>
      </c>
      <c r="L168" s="476">
        <v>60</v>
      </c>
      <c r="M168" s="343">
        <f t="shared" si="8"/>
        <v>15.360000000000001</v>
      </c>
      <c r="N168" s="344">
        <f ca="1" t="shared" si="6"/>
        <v>184</v>
      </c>
      <c r="O168" s="358">
        <v>1</v>
      </c>
      <c r="P168" s="340" t="s">
        <v>348</v>
      </c>
    </row>
    <row r="169" spans="2:16" ht="39.75" customHeight="1">
      <c r="B169" s="25">
        <v>39051</v>
      </c>
      <c r="C169" s="340" t="s">
        <v>477</v>
      </c>
      <c r="D169" s="2" t="s">
        <v>1602</v>
      </c>
      <c r="E169" s="26" t="s">
        <v>150</v>
      </c>
      <c r="F169" s="2" t="s">
        <v>42</v>
      </c>
      <c r="G169" s="2" t="s">
        <v>1824</v>
      </c>
      <c r="H169" s="2" t="s">
        <v>143</v>
      </c>
      <c r="I169" s="356">
        <v>921.6</v>
      </c>
      <c r="J169" s="342">
        <v>33.33</v>
      </c>
      <c r="K169" s="357">
        <f t="shared" si="7"/>
        <v>27.650765076507653</v>
      </c>
      <c r="L169" s="476">
        <v>60</v>
      </c>
      <c r="M169" s="343">
        <f t="shared" si="8"/>
        <v>15.360000000000001</v>
      </c>
      <c r="N169" s="344">
        <f ca="1" t="shared" si="6"/>
        <v>184</v>
      </c>
      <c r="O169" s="358">
        <v>1</v>
      </c>
      <c r="P169" s="340" t="s">
        <v>348</v>
      </c>
    </row>
    <row r="170" spans="2:16" ht="39.75" customHeight="1">
      <c r="B170" s="25">
        <v>39051</v>
      </c>
      <c r="C170" s="340" t="s">
        <v>477</v>
      </c>
      <c r="D170" s="2" t="s">
        <v>1603</v>
      </c>
      <c r="E170" s="26" t="s">
        <v>150</v>
      </c>
      <c r="F170" s="2" t="s">
        <v>42</v>
      </c>
      <c r="G170" s="2" t="s">
        <v>1824</v>
      </c>
      <c r="H170" s="2" t="s">
        <v>143</v>
      </c>
      <c r="I170" s="356">
        <v>921.6</v>
      </c>
      <c r="J170" s="342">
        <v>33.33</v>
      </c>
      <c r="K170" s="357">
        <f t="shared" si="7"/>
        <v>27.650765076507653</v>
      </c>
      <c r="L170" s="476">
        <v>60</v>
      </c>
      <c r="M170" s="343">
        <f t="shared" si="8"/>
        <v>15.360000000000001</v>
      </c>
      <c r="N170" s="344">
        <f ca="1" t="shared" si="6"/>
        <v>184</v>
      </c>
      <c r="O170" s="358">
        <v>1</v>
      </c>
      <c r="P170" s="340" t="s">
        <v>348</v>
      </c>
    </row>
    <row r="171" spans="2:16" ht="39.75" customHeight="1">
      <c r="B171" s="25">
        <v>39051</v>
      </c>
      <c r="C171" s="340" t="s">
        <v>477</v>
      </c>
      <c r="D171" s="2" t="s">
        <v>1604</v>
      </c>
      <c r="E171" s="26" t="s">
        <v>150</v>
      </c>
      <c r="F171" s="2" t="s">
        <v>42</v>
      </c>
      <c r="G171" s="2" t="s">
        <v>1824</v>
      </c>
      <c r="H171" s="2" t="s">
        <v>143</v>
      </c>
      <c r="I171" s="356">
        <v>921.6</v>
      </c>
      <c r="J171" s="342">
        <v>33.33</v>
      </c>
      <c r="K171" s="357">
        <f t="shared" si="7"/>
        <v>27.650765076507653</v>
      </c>
      <c r="L171" s="476">
        <v>60</v>
      </c>
      <c r="M171" s="343">
        <f t="shared" si="8"/>
        <v>15.360000000000001</v>
      </c>
      <c r="N171" s="344">
        <f ca="1" t="shared" si="6"/>
        <v>184</v>
      </c>
      <c r="O171" s="358">
        <v>1</v>
      </c>
      <c r="P171" s="340" t="s">
        <v>348</v>
      </c>
    </row>
    <row r="172" spans="2:16" ht="39.75" customHeight="1">
      <c r="B172" s="25">
        <v>39051</v>
      </c>
      <c r="C172" s="340" t="s">
        <v>477</v>
      </c>
      <c r="D172" s="2" t="s">
        <v>1605</v>
      </c>
      <c r="E172" s="26" t="s">
        <v>150</v>
      </c>
      <c r="F172" s="2" t="s">
        <v>42</v>
      </c>
      <c r="G172" s="2" t="s">
        <v>1824</v>
      </c>
      <c r="H172" s="2" t="s">
        <v>143</v>
      </c>
      <c r="I172" s="356">
        <v>921.6</v>
      </c>
      <c r="J172" s="342">
        <v>33.33</v>
      </c>
      <c r="K172" s="357">
        <f t="shared" si="7"/>
        <v>27.650765076507653</v>
      </c>
      <c r="L172" s="476">
        <v>60</v>
      </c>
      <c r="M172" s="343">
        <f t="shared" si="8"/>
        <v>15.360000000000001</v>
      </c>
      <c r="N172" s="344">
        <f ca="1" t="shared" si="6"/>
        <v>184</v>
      </c>
      <c r="O172" s="358">
        <v>1</v>
      </c>
      <c r="P172" s="340" t="s">
        <v>348</v>
      </c>
    </row>
    <row r="173" spans="2:16" ht="39.75" customHeight="1">
      <c r="B173" s="25">
        <v>39051</v>
      </c>
      <c r="C173" s="340" t="s">
        <v>477</v>
      </c>
      <c r="D173" s="2" t="s">
        <v>1606</v>
      </c>
      <c r="E173" s="26" t="s">
        <v>150</v>
      </c>
      <c r="F173" s="2" t="s">
        <v>42</v>
      </c>
      <c r="G173" s="2" t="s">
        <v>1824</v>
      </c>
      <c r="H173" s="2" t="s">
        <v>143</v>
      </c>
      <c r="I173" s="356">
        <v>921.6</v>
      </c>
      <c r="J173" s="342">
        <v>33.33</v>
      </c>
      <c r="K173" s="357">
        <f t="shared" si="7"/>
        <v>27.650765076507653</v>
      </c>
      <c r="L173" s="476">
        <v>60</v>
      </c>
      <c r="M173" s="343">
        <f t="shared" si="8"/>
        <v>15.360000000000001</v>
      </c>
      <c r="N173" s="344">
        <f ca="1" t="shared" si="6"/>
        <v>184</v>
      </c>
      <c r="O173" s="358">
        <v>1</v>
      </c>
      <c r="P173" s="340" t="s">
        <v>348</v>
      </c>
    </row>
    <row r="174" spans="2:16" ht="39.75" customHeight="1">
      <c r="B174" s="25">
        <v>39051</v>
      </c>
      <c r="C174" s="340" t="s">
        <v>477</v>
      </c>
      <c r="D174" s="2" t="s">
        <v>1607</v>
      </c>
      <c r="E174" s="26" t="s">
        <v>150</v>
      </c>
      <c r="F174" s="2" t="s">
        <v>42</v>
      </c>
      <c r="G174" s="2" t="s">
        <v>1824</v>
      </c>
      <c r="H174" s="2" t="s">
        <v>143</v>
      </c>
      <c r="I174" s="356">
        <v>921.6</v>
      </c>
      <c r="J174" s="342">
        <v>33.33</v>
      </c>
      <c r="K174" s="357">
        <f t="shared" si="7"/>
        <v>27.650765076507653</v>
      </c>
      <c r="L174" s="476">
        <v>60</v>
      </c>
      <c r="M174" s="343">
        <f t="shared" si="8"/>
        <v>15.360000000000001</v>
      </c>
      <c r="N174" s="344">
        <f ca="1" t="shared" si="6"/>
        <v>184</v>
      </c>
      <c r="O174" s="358">
        <v>1</v>
      </c>
      <c r="P174" s="340" t="s">
        <v>348</v>
      </c>
    </row>
    <row r="175" spans="2:16" ht="39.75" customHeight="1">
      <c r="B175" s="25">
        <v>39051</v>
      </c>
      <c r="C175" s="340" t="s">
        <v>477</v>
      </c>
      <c r="D175" s="2" t="s">
        <v>1608</v>
      </c>
      <c r="E175" s="26" t="s">
        <v>150</v>
      </c>
      <c r="F175" s="2" t="s">
        <v>42</v>
      </c>
      <c r="G175" s="2" t="s">
        <v>1824</v>
      </c>
      <c r="H175" s="2" t="s">
        <v>143</v>
      </c>
      <c r="I175" s="356">
        <v>921.6</v>
      </c>
      <c r="J175" s="342">
        <v>33.33</v>
      </c>
      <c r="K175" s="357">
        <f t="shared" si="7"/>
        <v>27.650765076507653</v>
      </c>
      <c r="L175" s="476">
        <v>60</v>
      </c>
      <c r="M175" s="343">
        <f t="shared" si="8"/>
        <v>15.360000000000001</v>
      </c>
      <c r="N175" s="344">
        <f ca="1" t="shared" si="6"/>
        <v>184</v>
      </c>
      <c r="O175" s="358">
        <v>1</v>
      </c>
      <c r="P175" s="340" t="s">
        <v>348</v>
      </c>
    </row>
    <row r="176" spans="2:16" ht="39.75" customHeight="1">
      <c r="B176" s="25">
        <v>39051</v>
      </c>
      <c r="C176" s="340" t="s">
        <v>477</v>
      </c>
      <c r="D176" s="2" t="s">
        <v>1609</v>
      </c>
      <c r="E176" s="26" t="s">
        <v>150</v>
      </c>
      <c r="F176" s="2" t="s">
        <v>42</v>
      </c>
      <c r="G176" s="2" t="s">
        <v>1824</v>
      </c>
      <c r="H176" s="2" t="s">
        <v>143</v>
      </c>
      <c r="I176" s="356">
        <v>921.6</v>
      </c>
      <c r="J176" s="342">
        <v>33.33</v>
      </c>
      <c r="K176" s="357">
        <f t="shared" si="7"/>
        <v>27.650765076507653</v>
      </c>
      <c r="L176" s="476">
        <v>60</v>
      </c>
      <c r="M176" s="343">
        <f t="shared" si="8"/>
        <v>15.360000000000001</v>
      </c>
      <c r="N176" s="344">
        <f ca="1" t="shared" si="6"/>
        <v>184</v>
      </c>
      <c r="O176" s="358">
        <v>1</v>
      </c>
      <c r="P176" s="340" t="s">
        <v>348</v>
      </c>
    </row>
    <row r="177" spans="2:16" ht="39.75" customHeight="1">
      <c r="B177" s="25">
        <v>39051</v>
      </c>
      <c r="C177" s="340" t="s">
        <v>477</v>
      </c>
      <c r="D177" s="2" t="s">
        <v>1609</v>
      </c>
      <c r="E177" s="26" t="s">
        <v>150</v>
      </c>
      <c r="F177" s="2" t="s">
        <v>42</v>
      </c>
      <c r="G177" s="2" t="s">
        <v>1824</v>
      </c>
      <c r="H177" s="2" t="s">
        <v>143</v>
      </c>
      <c r="I177" s="356">
        <v>921.6</v>
      </c>
      <c r="J177" s="342">
        <v>33.33</v>
      </c>
      <c r="K177" s="357">
        <f t="shared" si="7"/>
        <v>27.650765076507653</v>
      </c>
      <c r="L177" s="476">
        <v>60</v>
      </c>
      <c r="M177" s="343">
        <f t="shared" si="8"/>
        <v>15.360000000000001</v>
      </c>
      <c r="N177" s="344">
        <f ca="1" t="shared" si="6"/>
        <v>184</v>
      </c>
      <c r="O177" s="358">
        <v>1</v>
      </c>
      <c r="P177" s="340" t="s">
        <v>348</v>
      </c>
    </row>
    <row r="178" spans="2:16" ht="39.75" customHeight="1">
      <c r="B178" s="25">
        <v>39051</v>
      </c>
      <c r="C178" s="340" t="s">
        <v>477</v>
      </c>
      <c r="D178" s="2" t="s">
        <v>1610</v>
      </c>
      <c r="E178" s="26" t="s">
        <v>150</v>
      </c>
      <c r="F178" s="2" t="s">
        <v>42</v>
      </c>
      <c r="G178" s="2" t="s">
        <v>1824</v>
      </c>
      <c r="H178" s="2" t="s">
        <v>143</v>
      </c>
      <c r="I178" s="356">
        <v>921.6</v>
      </c>
      <c r="J178" s="342">
        <v>33.33</v>
      </c>
      <c r="K178" s="357">
        <f t="shared" si="7"/>
        <v>27.650765076507653</v>
      </c>
      <c r="L178" s="476">
        <v>60</v>
      </c>
      <c r="M178" s="343">
        <f t="shared" si="8"/>
        <v>15.360000000000001</v>
      </c>
      <c r="N178" s="344">
        <f ca="1" t="shared" si="6"/>
        <v>184</v>
      </c>
      <c r="O178" s="358">
        <v>1</v>
      </c>
      <c r="P178" s="340" t="s">
        <v>348</v>
      </c>
    </row>
    <row r="179" spans="2:16" ht="39.75" customHeight="1">
      <c r="B179" s="25">
        <v>39051</v>
      </c>
      <c r="C179" s="340" t="s">
        <v>477</v>
      </c>
      <c r="D179" s="2" t="s">
        <v>1611</v>
      </c>
      <c r="E179" s="26" t="s">
        <v>150</v>
      </c>
      <c r="F179" s="2" t="s">
        <v>42</v>
      </c>
      <c r="G179" s="2" t="s">
        <v>1824</v>
      </c>
      <c r="H179" s="2" t="s">
        <v>143</v>
      </c>
      <c r="I179" s="356">
        <v>921.6</v>
      </c>
      <c r="J179" s="342">
        <v>33.33</v>
      </c>
      <c r="K179" s="357">
        <f t="shared" si="7"/>
        <v>27.650765076507653</v>
      </c>
      <c r="L179" s="476">
        <v>60</v>
      </c>
      <c r="M179" s="343">
        <f t="shared" si="8"/>
        <v>15.360000000000001</v>
      </c>
      <c r="N179" s="344">
        <f ca="1" t="shared" si="6"/>
        <v>184</v>
      </c>
      <c r="O179" s="358">
        <v>1</v>
      </c>
      <c r="P179" s="340" t="s">
        <v>348</v>
      </c>
    </row>
    <row r="180" spans="2:16" ht="39.75" customHeight="1">
      <c r="B180" s="25">
        <v>39051</v>
      </c>
      <c r="C180" s="340" t="s">
        <v>477</v>
      </c>
      <c r="D180" s="2" t="s">
        <v>1612</v>
      </c>
      <c r="E180" s="26" t="s">
        <v>150</v>
      </c>
      <c r="F180" s="2" t="s">
        <v>42</v>
      </c>
      <c r="G180" s="2" t="s">
        <v>1824</v>
      </c>
      <c r="H180" s="2" t="s">
        <v>143</v>
      </c>
      <c r="I180" s="356">
        <v>921.6</v>
      </c>
      <c r="J180" s="342">
        <v>33.33</v>
      </c>
      <c r="K180" s="357">
        <f t="shared" si="7"/>
        <v>27.650765076507653</v>
      </c>
      <c r="L180" s="476">
        <v>60</v>
      </c>
      <c r="M180" s="343">
        <f t="shared" si="8"/>
        <v>15.360000000000001</v>
      </c>
      <c r="N180" s="344">
        <f ca="1" t="shared" si="6"/>
        <v>184</v>
      </c>
      <c r="O180" s="358">
        <v>1</v>
      </c>
      <c r="P180" s="340" t="s">
        <v>348</v>
      </c>
    </row>
    <row r="181" spans="2:16" ht="39.75" customHeight="1">
      <c r="B181" s="25">
        <v>39051</v>
      </c>
      <c r="C181" s="340" t="s">
        <v>477</v>
      </c>
      <c r="D181" s="2" t="s">
        <v>1613</v>
      </c>
      <c r="E181" s="26" t="s">
        <v>150</v>
      </c>
      <c r="F181" s="2" t="s">
        <v>42</v>
      </c>
      <c r="G181" s="2" t="s">
        <v>1824</v>
      </c>
      <c r="H181" s="2" t="s">
        <v>143</v>
      </c>
      <c r="I181" s="356">
        <v>921.6</v>
      </c>
      <c r="J181" s="342">
        <v>33.33</v>
      </c>
      <c r="K181" s="357">
        <f t="shared" si="7"/>
        <v>27.650765076507653</v>
      </c>
      <c r="L181" s="476">
        <v>60</v>
      </c>
      <c r="M181" s="343">
        <f t="shared" si="8"/>
        <v>15.360000000000001</v>
      </c>
      <c r="N181" s="344">
        <f ca="1" t="shared" si="6"/>
        <v>184</v>
      </c>
      <c r="O181" s="358">
        <v>1</v>
      </c>
      <c r="P181" s="340" t="s">
        <v>348</v>
      </c>
    </row>
    <row r="182" spans="2:16" ht="39.75" customHeight="1">
      <c r="B182" s="25">
        <v>39051</v>
      </c>
      <c r="C182" s="340" t="s">
        <v>477</v>
      </c>
      <c r="D182" s="2" t="s">
        <v>1614</v>
      </c>
      <c r="E182" s="26" t="s">
        <v>150</v>
      </c>
      <c r="F182" s="2" t="s">
        <v>42</v>
      </c>
      <c r="G182" s="2" t="s">
        <v>1824</v>
      </c>
      <c r="H182" s="2" t="s">
        <v>143</v>
      </c>
      <c r="I182" s="356">
        <v>921.6</v>
      </c>
      <c r="J182" s="342">
        <v>33.33</v>
      </c>
      <c r="K182" s="357">
        <f t="shared" si="7"/>
        <v>27.650765076507653</v>
      </c>
      <c r="L182" s="476">
        <v>60</v>
      </c>
      <c r="M182" s="343">
        <f t="shared" si="8"/>
        <v>15.360000000000001</v>
      </c>
      <c r="N182" s="344">
        <f ca="1" t="shared" si="6"/>
        <v>184</v>
      </c>
      <c r="O182" s="358">
        <v>1</v>
      </c>
      <c r="P182" s="340" t="s">
        <v>348</v>
      </c>
    </row>
    <row r="183" spans="2:16" ht="39.75" customHeight="1">
      <c r="B183" s="25">
        <v>39051</v>
      </c>
      <c r="C183" s="340" t="s">
        <v>477</v>
      </c>
      <c r="D183" s="2" t="s">
        <v>1615</v>
      </c>
      <c r="E183" s="26" t="s">
        <v>150</v>
      </c>
      <c r="F183" s="2" t="s">
        <v>42</v>
      </c>
      <c r="G183" s="2" t="s">
        <v>1824</v>
      </c>
      <c r="H183" s="2" t="s">
        <v>143</v>
      </c>
      <c r="I183" s="356">
        <v>921.6</v>
      </c>
      <c r="J183" s="342">
        <v>33.33</v>
      </c>
      <c r="K183" s="357">
        <f t="shared" si="7"/>
        <v>27.650765076507653</v>
      </c>
      <c r="L183" s="476">
        <v>60</v>
      </c>
      <c r="M183" s="343">
        <f t="shared" si="8"/>
        <v>15.360000000000001</v>
      </c>
      <c r="N183" s="344">
        <f ca="1" t="shared" si="6"/>
        <v>184</v>
      </c>
      <c r="O183" s="358">
        <v>1</v>
      </c>
      <c r="P183" s="340" t="s">
        <v>348</v>
      </c>
    </row>
    <row r="184" spans="2:16" ht="39.75" customHeight="1">
      <c r="B184" s="25">
        <v>39051</v>
      </c>
      <c r="C184" s="340" t="s">
        <v>477</v>
      </c>
      <c r="D184" s="2" t="s">
        <v>1616</v>
      </c>
      <c r="E184" s="26" t="s">
        <v>147</v>
      </c>
      <c r="F184" s="2" t="s">
        <v>42</v>
      </c>
      <c r="G184" s="2" t="s">
        <v>1824</v>
      </c>
      <c r="H184" s="2" t="s">
        <v>143</v>
      </c>
      <c r="I184" s="356">
        <v>4501.6</v>
      </c>
      <c r="J184" s="342">
        <v>33.33</v>
      </c>
      <c r="K184" s="357">
        <f t="shared" si="7"/>
        <v>135.0615061506151</v>
      </c>
      <c r="L184" s="476">
        <v>60</v>
      </c>
      <c r="M184" s="343">
        <f t="shared" si="8"/>
        <v>75.02666666666667</v>
      </c>
      <c r="N184" s="344">
        <f ca="1" t="shared" si="6"/>
        <v>184</v>
      </c>
      <c r="O184" s="358">
        <v>1</v>
      </c>
      <c r="P184" s="340" t="s">
        <v>348</v>
      </c>
    </row>
    <row r="185" spans="2:16" ht="39.75" customHeight="1">
      <c r="B185" s="25">
        <v>39051</v>
      </c>
      <c r="C185" s="340" t="s">
        <v>477</v>
      </c>
      <c r="D185" s="2" t="s">
        <v>1617</v>
      </c>
      <c r="E185" s="26" t="s">
        <v>147</v>
      </c>
      <c r="F185" s="2" t="s">
        <v>42</v>
      </c>
      <c r="G185" s="2" t="s">
        <v>1824</v>
      </c>
      <c r="H185" s="2" t="s">
        <v>143</v>
      </c>
      <c r="I185" s="356">
        <v>4501.6</v>
      </c>
      <c r="J185" s="342">
        <v>33.33</v>
      </c>
      <c r="K185" s="357">
        <f t="shared" si="7"/>
        <v>135.0615061506151</v>
      </c>
      <c r="L185" s="476">
        <v>60</v>
      </c>
      <c r="M185" s="343">
        <f t="shared" si="8"/>
        <v>75.02666666666667</v>
      </c>
      <c r="N185" s="344">
        <f ca="1" t="shared" si="6"/>
        <v>184</v>
      </c>
      <c r="O185" s="358">
        <v>1</v>
      </c>
      <c r="P185" s="340" t="s">
        <v>348</v>
      </c>
    </row>
    <row r="186" spans="2:16" ht="39.75" customHeight="1">
      <c r="B186" s="25">
        <v>39051</v>
      </c>
      <c r="C186" s="340" t="s">
        <v>477</v>
      </c>
      <c r="D186" s="2" t="s">
        <v>1618</v>
      </c>
      <c r="E186" s="26" t="s">
        <v>147</v>
      </c>
      <c r="F186" s="2" t="s">
        <v>42</v>
      </c>
      <c r="G186" s="2" t="s">
        <v>1824</v>
      </c>
      <c r="H186" s="2" t="s">
        <v>143</v>
      </c>
      <c r="I186" s="356">
        <v>4501.6</v>
      </c>
      <c r="J186" s="342">
        <v>33.33</v>
      </c>
      <c r="K186" s="357">
        <f t="shared" si="7"/>
        <v>135.0615061506151</v>
      </c>
      <c r="L186" s="476">
        <v>60</v>
      </c>
      <c r="M186" s="343">
        <f t="shared" si="8"/>
        <v>75.02666666666667</v>
      </c>
      <c r="N186" s="344">
        <f ca="1" t="shared" si="6"/>
        <v>184</v>
      </c>
      <c r="O186" s="358">
        <v>1</v>
      </c>
      <c r="P186" s="340" t="s">
        <v>348</v>
      </c>
    </row>
    <row r="187" spans="2:16" ht="39.75" customHeight="1">
      <c r="B187" s="25">
        <v>39051</v>
      </c>
      <c r="C187" s="340" t="s">
        <v>477</v>
      </c>
      <c r="D187" s="2" t="s">
        <v>1531</v>
      </c>
      <c r="E187" s="26" t="s">
        <v>806</v>
      </c>
      <c r="F187" s="2" t="s">
        <v>42</v>
      </c>
      <c r="G187" s="2" t="s">
        <v>1824</v>
      </c>
      <c r="H187" s="2" t="s">
        <v>143</v>
      </c>
      <c r="I187" s="356">
        <v>857.6</v>
      </c>
      <c r="J187" s="342">
        <v>33.33</v>
      </c>
      <c r="K187" s="357">
        <f t="shared" si="7"/>
        <v>25.730573057305733</v>
      </c>
      <c r="L187" s="476">
        <v>60</v>
      </c>
      <c r="M187" s="343">
        <f t="shared" si="8"/>
        <v>14.293333333333333</v>
      </c>
      <c r="N187" s="344">
        <f ca="1" t="shared" si="6"/>
        <v>184</v>
      </c>
      <c r="O187" s="358">
        <v>1</v>
      </c>
      <c r="P187" s="340" t="s">
        <v>348</v>
      </c>
    </row>
    <row r="188" spans="2:16" ht="39.75" customHeight="1">
      <c r="B188" s="25">
        <v>39051</v>
      </c>
      <c r="C188" s="340" t="s">
        <v>477</v>
      </c>
      <c r="D188" s="2" t="s">
        <v>1532</v>
      </c>
      <c r="E188" s="26" t="s">
        <v>806</v>
      </c>
      <c r="F188" s="2" t="s">
        <v>42</v>
      </c>
      <c r="G188" s="2" t="s">
        <v>1824</v>
      </c>
      <c r="H188" s="2" t="s">
        <v>143</v>
      </c>
      <c r="I188" s="356">
        <v>857.6</v>
      </c>
      <c r="J188" s="342">
        <v>33.33</v>
      </c>
      <c r="K188" s="357">
        <f t="shared" si="7"/>
        <v>25.730573057305733</v>
      </c>
      <c r="L188" s="476">
        <v>60</v>
      </c>
      <c r="M188" s="343">
        <f t="shared" si="8"/>
        <v>14.293333333333333</v>
      </c>
      <c r="N188" s="344">
        <f ca="1" t="shared" si="6"/>
        <v>184</v>
      </c>
      <c r="O188" s="358">
        <v>1</v>
      </c>
      <c r="P188" s="340" t="s">
        <v>348</v>
      </c>
    </row>
    <row r="189" spans="2:16" ht="39.75" customHeight="1">
      <c r="B189" s="25">
        <v>39211</v>
      </c>
      <c r="C189" s="340" t="s">
        <v>339</v>
      </c>
      <c r="D189" s="2" t="s">
        <v>1800</v>
      </c>
      <c r="E189" s="26" t="s">
        <v>198</v>
      </c>
      <c r="F189" s="2" t="s">
        <v>42</v>
      </c>
      <c r="G189" s="2" t="s">
        <v>821</v>
      </c>
      <c r="H189" s="2" t="s">
        <v>366</v>
      </c>
      <c r="I189" s="356">
        <v>3825</v>
      </c>
      <c r="J189" s="342">
        <v>33.33</v>
      </c>
      <c r="K189" s="357">
        <f t="shared" si="7"/>
        <v>114.76147614761477</v>
      </c>
      <c r="L189" s="476">
        <v>60</v>
      </c>
      <c r="M189" s="343">
        <f t="shared" si="8"/>
        <v>63.75</v>
      </c>
      <c r="N189" s="344">
        <f ca="1" t="shared" si="6"/>
        <v>178</v>
      </c>
      <c r="O189" s="358">
        <v>1</v>
      </c>
      <c r="P189" s="340" t="s">
        <v>197</v>
      </c>
    </row>
    <row r="190" spans="2:16" ht="39.75" customHeight="1">
      <c r="B190" s="25">
        <v>39211</v>
      </c>
      <c r="C190" s="340" t="s">
        <v>339</v>
      </c>
      <c r="D190" s="2" t="s">
        <v>1801</v>
      </c>
      <c r="E190" s="26" t="s">
        <v>198</v>
      </c>
      <c r="F190" s="2" t="s">
        <v>42</v>
      </c>
      <c r="G190" s="2" t="s">
        <v>821</v>
      </c>
      <c r="H190" s="2" t="s">
        <v>366</v>
      </c>
      <c r="I190" s="356">
        <v>3825</v>
      </c>
      <c r="J190" s="342">
        <v>33.33</v>
      </c>
      <c r="K190" s="357">
        <f t="shared" si="7"/>
        <v>114.76147614761477</v>
      </c>
      <c r="L190" s="476">
        <v>60</v>
      </c>
      <c r="M190" s="343">
        <f t="shared" si="8"/>
        <v>63.75</v>
      </c>
      <c r="N190" s="344">
        <f ca="1" t="shared" si="6"/>
        <v>178</v>
      </c>
      <c r="O190" s="358">
        <v>1</v>
      </c>
      <c r="P190" s="340" t="s">
        <v>197</v>
      </c>
    </row>
    <row r="191" spans="2:16" ht="39.75" customHeight="1">
      <c r="B191" s="25">
        <v>39244</v>
      </c>
      <c r="C191" s="340" t="s">
        <v>200</v>
      </c>
      <c r="D191" s="2" t="s">
        <v>1813</v>
      </c>
      <c r="E191" s="26" t="s">
        <v>358</v>
      </c>
      <c r="F191" s="2" t="s">
        <v>201</v>
      </c>
      <c r="G191" s="2" t="s">
        <v>821</v>
      </c>
      <c r="H191" s="2" t="s">
        <v>366</v>
      </c>
      <c r="I191" s="356">
        <v>35233</v>
      </c>
      <c r="J191" s="342">
        <v>32.34</v>
      </c>
      <c r="K191" s="357">
        <f t="shared" si="7"/>
        <v>1089.455782312925</v>
      </c>
      <c r="L191" s="476">
        <v>60</v>
      </c>
      <c r="M191" s="343">
        <f t="shared" si="8"/>
        <v>587.2166666666667</v>
      </c>
      <c r="N191" s="344">
        <f ca="1" t="shared" si="6"/>
        <v>177</v>
      </c>
      <c r="O191" s="358">
        <v>1</v>
      </c>
      <c r="P191" s="340" t="s">
        <v>197</v>
      </c>
    </row>
    <row r="192" spans="2:16" ht="39.75" customHeight="1">
      <c r="B192" s="25">
        <v>39253</v>
      </c>
      <c r="C192" s="340" t="s">
        <v>514</v>
      </c>
      <c r="D192" s="2" t="s">
        <v>1754</v>
      </c>
      <c r="E192" s="26" t="s">
        <v>341</v>
      </c>
      <c r="F192" s="2" t="s">
        <v>42</v>
      </c>
      <c r="G192" s="2" t="s">
        <v>737</v>
      </c>
      <c r="H192" s="2" t="s">
        <v>437</v>
      </c>
      <c r="I192" s="356">
        <v>2812</v>
      </c>
      <c r="J192" s="342">
        <v>33.33</v>
      </c>
      <c r="K192" s="357">
        <f t="shared" si="7"/>
        <v>84.36843684368438</v>
      </c>
      <c r="L192" s="476">
        <v>60</v>
      </c>
      <c r="M192" s="343">
        <f t="shared" si="8"/>
        <v>46.86666666666667</v>
      </c>
      <c r="N192" s="344">
        <f ca="1" t="shared" si="6"/>
        <v>177</v>
      </c>
      <c r="O192" s="358">
        <v>1</v>
      </c>
      <c r="P192" s="340" t="s">
        <v>348</v>
      </c>
    </row>
    <row r="193" spans="2:16" ht="39.75" customHeight="1">
      <c r="B193" s="25">
        <v>39253</v>
      </c>
      <c r="C193" s="340" t="s">
        <v>514</v>
      </c>
      <c r="D193" s="2" t="s">
        <v>1791</v>
      </c>
      <c r="E193" s="26" t="s">
        <v>320</v>
      </c>
      <c r="F193" s="2" t="s">
        <v>42</v>
      </c>
      <c r="G193" s="2" t="s">
        <v>737</v>
      </c>
      <c r="H193" s="2" t="s">
        <v>437</v>
      </c>
      <c r="I193" s="356">
        <v>7389.6</v>
      </c>
      <c r="J193" s="342">
        <v>32.42</v>
      </c>
      <c r="K193" s="357">
        <f t="shared" si="7"/>
        <v>227.93337446020973</v>
      </c>
      <c r="L193" s="476">
        <v>60</v>
      </c>
      <c r="M193" s="343">
        <f t="shared" si="8"/>
        <v>123.16000000000001</v>
      </c>
      <c r="N193" s="344">
        <f ca="1" t="shared" si="6"/>
        <v>177</v>
      </c>
      <c r="O193" s="358">
        <v>1</v>
      </c>
      <c r="P193" s="340" t="s">
        <v>348</v>
      </c>
    </row>
    <row r="194" spans="2:16" ht="39.75" customHeight="1">
      <c r="B194" s="25">
        <v>39253</v>
      </c>
      <c r="C194" s="340" t="s">
        <v>514</v>
      </c>
      <c r="D194" s="2" t="s">
        <v>1792</v>
      </c>
      <c r="E194" s="26" t="s">
        <v>320</v>
      </c>
      <c r="F194" s="2" t="s">
        <v>42</v>
      </c>
      <c r="G194" s="2" t="s">
        <v>737</v>
      </c>
      <c r="H194" s="2" t="s">
        <v>437</v>
      </c>
      <c r="I194" s="356">
        <v>7389.6</v>
      </c>
      <c r="J194" s="342">
        <v>32.42</v>
      </c>
      <c r="K194" s="357">
        <f t="shared" si="7"/>
        <v>227.93337446020973</v>
      </c>
      <c r="L194" s="476">
        <v>60</v>
      </c>
      <c r="M194" s="343">
        <f t="shared" si="8"/>
        <v>123.16000000000001</v>
      </c>
      <c r="N194" s="344">
        <f ca="1" t="shared" si="6"/>
        <v>177</v>
      </c>
      <c r="O194" s="358">
        <v>1</v>
      </c>
      <c r="P194" s="340" t="s">
        <v>348</v>
      </c>
    </row>
    <row r="195" spans="2:16" ht="39.75" customHeight="1">
      <c r="B195" s="25">
        <v>39273</v>
      </c>
      <c r="C195" s="340" t="s">
        <v>378</v>
      </c>
      <c r="D195" s="2" t="s">
        <v>1383</v>
      </c>
      <c r="E195" s="26" t="s">
        <v>465</v>
      </c>
      <c r="F195" s="2" t="s">
        <v>42</v>
      </c>
      <c r="G195" s="2" t="s">
        <v>1855</v>
      </c>
      <c r="H195" s="2" t="s">
        <v>141</v>
      </c>
      <c r="I195" s="356">
        <v>12180</v>
      </c>
      <c r="J195" s="342">
        <v>32.42</v>
      </c>
      <c r="K195" s="357">
        <f t="shared" si="7"/>
        <v>375.69401603948177</v>
      </c>
      <c r="L195" s="476">
        <v>60</v>
      </c>
      <c r="M195" s="343">
        <f t="shared" si="8"/>
        <v>203</v>
      </c>
      <c r="N195" s="344">
        <f ca="1" t="shared" si="6"/>
        <v>176</v>
      </c>
      <c r="O195" s="358">
        <v>1</v>
      </c>
      <c r="P195" s="340" t="s">
        <v>464</v>
      </c>
    </row>
    <row r="196" spans="2:16" ht="39.75" customHeight="1">
      <c r="B196" s="25">
        <v>39273</v>
      </c>
      <c r="C196" s="340" t="s">
        <v>378</v>
      </c>
      <c r="D196" s="2" t="s">
        <v>1491</v>
      </c>
      <c r="E196" s="26" t="s">
        <v>465</v>
      </c>
      <c r="F196" s="2" t="s">
        <v>42</v>
      </c>
      <c r="G196" s="2" t="s">
        <v>1867</v>
      </c>
      <c r="H196" s="2" t="s">
        <v>138</v>
      </c>
      <c r="I196" s="201">
        <v>12180</v>
      </c>
      <c r="J196" s="342">
        <v>33.19</v>
      </c>
      <c r="K196" s="357">
        <f t="shared" si="7"/>
        <v>366.9780054233203</v>
      </c>
      <c r="L196" s="476">
        <v>60</v>
      </c>
      <c r="M196" s="343">
        <f t="shared" si="8"/>
        <v>203</v>
      </c>
      <c r="N196" s="344">
        <f ca="1" t="shared" si="6"/>
        <v>176</v>
      </c>
      <c r="O196" s="33">
        <v>1</v>
      </c>
      <c r="P196" s="340" t="s">
        <v>464</v>
      </c>
    </row>
    <row r="197" spans="2:16" ht="39.75" customHeight="1">
      <c r="B197" s="25">
        <v>39273</v>
      </c>
      <c r="C197" s="340" t="s">
        <v>378</v>
      </c>
      <c r="D197" s="2" t="s">
        <v>1201</v>
      </c>
      <c r="E197" s="26" t="s">
        <v>465</v>
      </c>
      <c r="F197" s="2" t="s">
        <v>42</v>
      </c>
      <c r="G197" s="2" t="s">
        <v>821</v>
      </c>
      <c r="H197" s="2" t="s">
        <v>380</v>
      </c>
      <c r="I197" s="201">
        <v>12180</v>
      </c>
      <c r="J197" s="342">
        <v>33.19</v>
      </c>
      <c r="K197" s="357">
        <f t="shared" si="7"/>
        <v>366.9780054233203</v>
      </c>
      <c r="L197" s="476">
        <v>60</v>
      </c>
      <c r="M197" s="343">
        <f t="shared" si="8"/>
        <v>203</v>
      </c>
      <c r="N197" s="344">
        <f ca="1" t="shared" si="6"/>
        <v>176</v>
      </c>
      <c r="O197" s="33">
        <v>1</v>
      </c>
      <c r="P197" s="340" t="s">
        <v>464</v>
      </c>
    </row>
    <row r="198" spans="2:16" ht="39.75" customHeight="1">
      <c r="B198" s="25">
        <v>39273</v>
      </c>
      <c r="C198" s="340" t="s">
        <v>378</v>
      </c>
      <c r="D198" s="2" t="s">
        <v>1380</v>
      </c>
      <c r="E198" s="26" t="s">
        <v>465</v>
      </c>
      <c r="F198" s="2" t="s">
        <v>42</v>
      </c>
      <c r="G198" s="2" t="s">
        <v>1851</v>
      </c>
      <c r="H198" s="2" t="s">
        <v>22</v>
      </c>
      <c r="I198" s="356">
        <v>12180</v>
      </c>
      <c r="J198" s="342">
        <v>33.19</v>
      </c>
      <c r="K198" s="357">
        <f t="shared" si="7"/>
        <v>366.9780054233203</v>
      </c>
      <c r="L198" s="476">
        <v>60</v>
      </c>
      <c r="M198" s="343">
        <f t="shared" si="8"/>
        <v>203</v>
      </c>
      <c r="N198" s="344">
        <f ca="1" t="shared" si="6"/>
        <v>176</v>
      </c>
      <c r="O198" s="358">
        <v>1</v>
      </c>
      <c r="P198" s="340" t="s">
        <v>464</v>
      </c>
    </row>
    <row r="199" spans="2:16" ht="39.75" customHeight="1">
      <c r="B199" s="25">
        <v>39554</v>
      </c>
      <c r="C199" s="340" t="s">
        <v>463</v>
      </c>
      <c r="D199" s="2" t="s">
        <v>1620</v>
      </c>
      <c r="E199" s="26" t="s">
        <v>465</v>
      </c>
      <c r="F199" s="2" t="s">
        <v>42</v>
      </c>
      <c r="G199" s="2" t="s">
        <v>821</v>
      </c>
      <c r="H199" s="2" t="s">
        <v>310</v>
      </c>
      <c r="I199" s="356">
        <v>15225</v>
      </c>
      <c r="J199" s="342">
        <v>34.13</v>
      </c>
      <c r="K199" s="357">
        <f t="shared" si="7"/>
        <v>446.0884852036331</v>
      </c>
      <c r="L199" s="476">
        <v>60</v>
      </c>
      <c r="M199" s="343">
        <f t="shared" si="8"/>
        <v>253.75</v>
      </c>
      <c r="N199" s="344">
        <f ca="1" t="shared" si="6"/>
        <v>167</v>
      </c>
      <c r="O199" s="358">
        <v>1</v>
      </c>
      <c r="P199" s="340" t="s">
        <v>464</v>
      </c>
    </row>
    <row r="200" spans="2:16" ht="39.75" customHeight="1">
      <c r="B200" s="25">
        <v>39554</v>
      </c>
      <c r="C200" s="340" t="s">
        <v>463</v>
      </c>
      <c r="D200" s="2" t="s">
        <v>1621</v>
      </c>
      <c r="E200" s="26" t="s">
        <v>465</v>
      </c>
      <c r="F200" s="2" t="s">
        <v>42</v>
      </c>
      <c r="G200" s="2" t="s">
        <v>821</v>
      </c>
      <c r="H200" s="2" t="s">
        <v>310</v>
      </c>
      <c r="I200" s="356">
        <v>15225</v>
      </c>
      <c r="J200" s="342">
        <v>34.13</v>
      </c>
      <c r="K200" s="357">
        <f t="shared" si="7"/>
        <v>446.0884852036331</v>
      </c>
      <c r="L200" s="476">
        <v>60</v>
      </c>
      <c r="M200" s="343">
        <f t="shared" si="8"/>
        <v>253.75</v>
      </c>
      <c r="N200" s="344">
        <f aca="true" ca="1" t="shared" si="9" ref="N200:N263">IF(B200&lt;&gt;0,(ROUND((NOW()-B200)/30,0)),0)</f>
        <v>167</v>
      </c>
      <c r="O200" s="358">
        <v>1</v>
      </c>
      <c r="P200" s="340" t="s">
        <v>464</v>
      </c>
    </row>
    <row r="201" spans="2:16" ht="39.75" customHeight="1">
      <c r="B201" s="25">
        <v>39554</v>
      </c>
      <c r="C201" s="340" t="s">
        <v>463</v>
      </c>
      <c r="D201" s="2" t="s">
        <v>1622</v>
      </c>
      <c r="E201" s="26" t="s">
        <v>465</v>
      </c>
      <c r="F201" s="2" t="s">
        <v>42</v>
      </c>
      <c r="G201" s="2" t="s">
        <v>821</v>
      </c>
      <c r="H201" s="2" t="s">
        <v>310</v>
      </c>
      <c r="I201" s="356">
        <v>15225</v>
      </c>
      <c r="J201" s="342">
        <v>34.13</v>
      </c>
      <c r="K201" s="357">
        <f aca="true" t="shared" si="10" ref="K201:K264">+I201/J201</f>
        <v>446.0884852036331</v>
      </c>
      <c r="L201" s="476">
        <v>60</v>
      </c>
      <c r="M201" s="343">
        <f aca="true" t="shared" si="11" ref="M201:M264">+I201/L281</f>
        <v>253.75</v>
      </c>
      <c r="N201" s="344">
        <f ca="1" t="shared" si="9"/>
        <v>167</v>
      </c>
      <c r="O201" s="358">
        <v>1</v>
      </c>
      <c r="P201" s="340" t="s">
        <v>464</v>
      </c>
    </row>
    <row r="202" spans="2:16" ht="39.75" customHeight="1">
      <c r="B202" s="25">
        <v>39554</v>
      </c>
      <c r="C202" s="340" t="s">
        <v>463</v>
      </c>
      <c r="D202" s="2" t="s">
        <v>1623</v>
      </c>
      <c r="E202" s="26" t="s">
        <v>465</v>
      </c>
      <c r="F202" s="2" t="s">
        <v>42</v>
      </c>
      <c r="G202" s="2" t="s">
        <v>821</v>
      </c>
      <c r="H202" s="2" t="s">
        <v>310</v>
      </c>
      <c r="I202" s="356">
        <v>15225</v>
      </c>
      <c r="J202" s="342">
        <v>34.13</v>
      </c>
      <c r="K202" s="357">
        <f t="shared" si="10"/>
        <v>446.0884852036331</v>
      </c>
      <c r="L202" s="476">
        <v>60</v>
      </c>
      <c r="M202" s="343">
        <f t="shared" si="11"/>
        <v>253.75</v>
      </c>
      <c r="N202" s="344">
        <f ca="1" t="shared" si="9"/>
        <v>167</v>
      </c>
      <c r="O202" s="358">
        <v>1</v>
      </c>
      <c r="P202" s="340" t="s">
        <v>464</v>
      </c>
    </row>
    <row r="203" spans="2:16" ht="39.75" customHeight="1">
      <c r="B203" s="25">
        <v>39554</v>
      </c>
      <c r="C203" s="340" t="s">
        <v>463</v>
      </c>
      <c r="D203" s="2" t="s">
        <v>1624</v>
      </c>
      <c r="E203" s="26" t="s">
        <v>465</v>
      </c>
      <c r="F203" s="2" t="s">
        <v>42</v>
      </c>
      <c r="G203" s="2" t="s">
        <v>821</v>
      </c>
      <c r="H203" s="2" t="s">
        <v>310</v>
      </c>
      <c r="I203" s="356">
        <v>15225</v>
      </c>
      <c r="J203" s="342">
        <v>34.13</v>
      </c>
      <c r="K203" s="357">
        <f t="shared" si="10"/>
        <v>446.0884852036331</v>
      </c>
      <c r="L203" s="476">
        <v>60</v>
      </c>
      <c r="M203" s="343">
        <f t="shared" si="11"/>
        <v>253.75</v>
      </c>
      <c r="N203" s="344">
        <f ca="1" t="shared" si="9"/>
        <v>167</v>
      </c>
      <c r="O203" s="358">
        <v>1</v>
      </c>
      <c r="P203" s="340" t="s">
        <v>464</v>
      </c>
    </row>
    <row r="204" spans="2:16" ht="39.75" customHeight="1">
      <c r="B204" s="25">
        <v>39554</v>
      </c>
      <c r="C204" s="340" t="s">
        <v>468</v>
      </c>
      <c r="D204" s="2" t="s">
        <v>1625</v>
      </c>
      <c r="E204" s="26" t="s">
        <v>467</v>
      </c>
      <c r="F204" s="2" t="s">
        <v>42</v>
      </c>
      <c r="G204" s="2" t="s">
        <v>821</v>
      </c>
      <c r="H204" s="2" t="s">
        <v>310</v>
      </c>
      <c r="I204" s="356">
        <v>3162</v>
      </c>
      <c r="J204" s="342">
        <v>34.09</v>
      </c>
      <c r="K204" s="357">
        <f t="shared" si="10"/>
        <v>92.75447345262539</v>
      </c>
      <c r="L204" s="476">
        <v>60</v>
      </c>
      <c r="M204" s="343">
        <f t="shared" si="11"/>
        <v>52.7</v>
      </c>
      <c r="N204" s="344">
        <f ca="1" t="shared" si="9"/>
        <v>167</v>
      </c>
      <c r="O204" s="358">
        <v>1</v>
      </c>
      <c r="P204" s="340" t="s">
        <v>464</v>
      </c>
    </row>
    <row r="205" spans="2:16" ht="39.75" customHeight="1">
      <c r="B205" s="25">
        <v>39554</v>
      </c>
      <c r="C205" s="340" t="s">
        <v>463</v>
      </c>
      <c r="D205" s="2" t="s">
        <v>1626</v>
      </c>
      <c r="E205" s="26" t="s">
        <v>801</v>
      </c>
      <c r="F205" s="2" t="s">
        <v>42</v>
      </c>
      <c r="G205" s="2" t="s">
        <v>821</v>
      </c>
      <c r="H205" s="2" t="s">
        <v>310</v>
      </c>
      <c r="I205" s="356">
        <v>20648</v>
      </c>
      <c r="J205" s="342">
        <v>34.13</v>
      </c>
      <c r="K205" s="357">
        <f t="shared" si="10"/>
        <v>604.9809551714034</v>
      </c>
      <c r="L205" s="476">
        <v>60</v>
      </c>
      <c r="M205" s="343">
        <f t="shared" si="11"/>
        <v>344.1333333333333</v>
      </c>
      <c r="N205" s="344">
        <f ca="1" t="shared" si="9"/>
        <v>167</v>
      </c>
      <c r="O205" s="358">
        <v>1</v>
      </c>
      <c r="P205" s="340" t="s">
        <v>464</v>
      </c>
    </row>
    <row r="206" spans="2:16" ht="39.75" customHeight="1">
      <c r="B206" s="25">
        <v>39556</v>
      </c>
      <c r="C206" s="340" t="s">
        <v>468</v>
      </c>
      <c r="D206" s="2" t="s">
        <v>1628</v>
      </c>
      <c r="E206" s="26" t="s">
        <v>469</v>
      </c>
      <c r="F206" s="2" t="s">
        <v>42</v>
      </c>
      <c r="G206" s="2" t="s">
        <v>821</v>
      </c>
      <c r="H206" s="2" t="s">
        <v>310</v>
      </c>
      <c r="I206" s="356">
        <v>5852</v>
      </c>
      <c r="J206" s="342">
        <v>34.09</v>
      </c>
      <c r="K206" s="357">
        <f t="shared" si="10"/>
        <v>171.66324435318273</v>
      </c>
      <c r="L206" s="476">
        <v>60</v>
      </c>
      <c r="M206" s="343">
        <f t="shared" si="11"/>
        <v>97.53333333333333</v>
      </c>
      <c r="N206" s="344">
        <f ca="1" t="shared" si="9"/>
        <v>167</v>
      </c>
      <c r="O206" s="358">
        <v>1</v>
      </c>
      <c r="P206" s="340" t="s">
        <v>464</v>
      </c>
    </row>
    <row r="207" spans="2:16" ht="39.75" customHeight="1">
      <c r="B207" s="25">
        <v>39556</v>
      </c>
      <c r="C207" s="340" t="s">
        <v>468</v>
      </c>
      <c r="D207" s="2" t="s">
        <v>1629</v>
      </c>
      <c r="E207" s="26" t="s">
        <v>469</v>
      </c>
      <c r="F207" s="2" t="s">
        <v>42</v>
      </c>
      <c r="G207" s="2" t="s">
        <v>821</v>
      </c>
      <c r="H207" s="2" t="s">
        <v>310</v>
      </c>
      <c r="I207" s="356">
        <v>5852</v>
      </c>
      <c r="J207" s="342">
        <v>34.09</v>
      </c>
      <c r="K207" s="357">
        <f t="shared" si="10"/>
        <v>171.66324435318273</v>
      </c>
      <c r="L207" s="476">
        <v>60</v>
      </c>
      <c r="M207" s="343">
        <f t="shared" si="11"/>
        <v>97.53333333333333</v>
      </c>
      <c r="N207" s="344">
        <f ca="1" t="shared" si="9"/>
        <v>167</v>
      </c>
      <c r="O207" s="358">
        <v>1</v>
      </c>
      <c r="P207" s="340" t="s">
        <v>464</v>
      </c>
    </row>
    <row r="208" spans="2:16" ht="39.75" customHeight="1">
      <c r="B208" s="25">
        <v>39556</v>
      </c>
      <c r="C208" s="340" t="s">
        <v>468</v>
      </c>
      <c r="D208" s="2" t="s">
        <v>1630</v>
      </c>
      <c r="E208" s="26" t="s">
        <v>469</v>
      </c>
      <c r="F208" s="2" t="s">
        <v>42</v>
      </c>
      <c r="G208" s="2" t="s">
        <v>821</v>
      </c>
      <c r="H208" s="2" t="s">
        <v>310</v>
      </c>
      <c r="I208" s="356">
        <v>5852</v>
      </c>
      <c r="J208" s="342">
        <v>34.09</v>
      </c>
      <c r="K208" s="357">
        <f t="shared" si="10"/>
        <v>171.66324435318273</v>
      </c>
      <c r="L208" s="476">
        <v>60</v>
      </c>
      <c r="M208" s="343">
        <f t="shared" si="11"/>
        <v>97.53333333333333</v>
      </c>
      <c r="N208" s="344">
        <f ca="1" t="shared" si="9"/>
        <v>167</v>
      </c>
      <c r="O208" s="358">
        <v>1</v>
      </c>
      <c r="P208" s="340" t="s">
        <v>464</v>
      </c>
    </row>
    <row r="209" spans="2:16" ht="39.75" customHeight="1">
      <c r="B209" s="25">
        <v>39556</v>
      </c>
      <c r="C209" s="340" t="s">
        <v>468</v>
      </c>
      <c r="D209" s="2" t="s">
        <v>1631</v>
      </c>
      <c r="E209" s="26" t="s">
        <v>469</v>
      </c>
      <c r="F209" s="2" t="s">
        <v>42</v>
      </c>
      <c r="G209" s="2" t="s">
        <v>821</v>
      </c>
      <c r="H209" s="2" t="s">
        <v>310</v>
      </c>
      <c r="I209" s="356">
        <v>5852</v>
      </c>
      <c r="J209" s="342">
        <v>34.09</v>
      </c>
      <c r="K209" s="357">
        <f t="shared" si="10"/>
        <v>171.66324435318273</v>
      </c>
      <c r="L209" s="476">
        <v>60</v>
      </c>
      <c r="M209" s="343">
        <f t="shared" si="11"/>
        <v>97.53333333333333</v>
      </c>
      <c r="N209" s="344">
        <f ca="1" t="shared" si="9"/>
        <v>167</v>
      </c>
      <c r="O209" s="358">
        <v>1</v>
      </c>
      <c r="P209" s="340" t="s">
        <v>464</v>
      </c>
    </row>
    <row r="210" spans="2:16" ht="39.75" customHeight="1">
      <c r="B210" s="25">
        <v>39556</v>
      </c>
      <c r="C210" s="340" t="s">
        <v>468</v>
      </c>
      <c r="D210" s="2" t="s">
        <v>1632</v>
      </c>
      <c r="E210" s="26" t="s">
        <v>469</v>
      </c>
      <c r="F210" s="2" t="s">
        <v>42</v>
      </c>
      <c r="G210" s="2" t="s">
        <v>821</v>
      </c>
      <c r="H210" s="2" t="s">
        <v>310</v>
      </c>
      <c r="I210" s="356">
        <v>5852</v>
      </c>
      <c r="J210" s="342">
        <v>34.09</v>
      </c>
      <c r="K210" s="357">
        <f t="shared" si="10"/>
        <v>171.66324435318273</v>
      </c>
      <c r="L210" s="476">
        <v>60</v>
      </c>
      <c r="M210" s="343">
        <f t="shared" si="11"/>
        <v>97.53333333333333</v>
      </c>
      <c r="N210" s="344">
        <f ca="1" t="shared" si="9"/>
        <v>167</v>
      </c>
      <c r="O210" s="358">
        <v>1</v>
      </c>
      <c r="P210" s="340" t="s">
        <v>464</v>
      </c>
    </row>
    <row r="211" spans="2:16" ht="39.75" customHeight="1">
      <c r="B211" s="25">
        <v>39556</v>
      </c>
      <c r="C211" s="340" t="s">
        <v>468</v>
      </c>
      <c r="D211" s="2" t="s">
        <v>1633</v>
      </c>
      <c r="E211" s="26" t="s">
        <v>469</v>
      </c>
      <c r="F211" s="2" t="s">
        <v>42</v>
      </c>
      <c r="G211" s="2" t="s">
        <v>821</v>
      </c>
      <c r="H211" s="2" t="s">
        <v>310</v>
      </c>
      <c r="I211" s="356">
        <v>5852</v>
      </c>
      <c r="J211" s="342">
        <v>34.09</v>
      </c>
      <c r="K211" s="357">
        <f t="shared" si="10"/>
        <v>171.66324435318273</v>
      </c>
      <c r="L211" s="476">
        <v>60</v>
      </c>
      <c r="M211" s="343">
        <f t="shared" si="11"/>
        <v>97.53333333333333</v>
      </c>
      <c r="N211" s="344">
        <f ca="1" t="shared" si="9"/>
        <v>167</v>
      </c>
      <c r="O211" s="358">
        <v>1</v>
      </c>
      <c r="P211" s="340" t="s">
        <v>464</v>
      </c>
    </row>
    <row r="212" spans="2:16" ht="39.75" customHeight="1">
      <c r="B212" s="25">
        <v>39556</v>
      </c>
      <c r="C212" s="340" t="s">
        <v>468</v>
      </c>
      <c r="D212" s="2" t="s">
        <v>1634</v>
      </c>
      <c r="E212" s="26" t="s">
        <v>469</v>
      </c>
      <c r="F212" s="2" t="s">
        <v>42</v>
      </c>
      <c r="G212" s="2" t="s">
        <v>821</v>
      </c>
      <c r="H212" s="2" t="s">
        <v>310</v>
      </c>
      <c r="I212" s="356">
        <v>5852</v>
      </c>
      <c r="J212" s="342">
        <v>34.09</v>
      </c>
      <c r="K212" s="357">
        <f t="shared" si="10"/>
        <v>171.66324435318273</v>
      </c>
      <c r="L212" s="476">
        <v>60</v>
      </c>
      <c r="M212" s="343">
        <f t="shared" si="11"/>
        <v>97.53333333333333</v>
      </c>
      <c r="N212" s="344">
        <f ca="1" t="shared" si="9"/>
        <v>167</v>
      </c>
      <c r="O212" s="358">
        <v>1</v>
      </c>
      <c r="P212" s="340" t="s">
        <v>464</v>
      </c>
    </row>
    <row r="213" spans="2:16" ht="39.75" customHeight="1">
      <c r="B213" s="25">
        <v>39556</v>
      </c>
      <c r="C213" s="340" t="s">
        <v>468</v>
      </c>
      <c r="D213" s="2" t="s">
        <v>1635</v>
      </c>
      <c r="E213" s="26" t="s">
        <v>469</v>
      </c>
      <c r="F213" s="2" t="s">
        <v>42</v>
      </c>
      <c r="G213" s="2" t="s">
        <v>821</v>
      </c>
      <c r="H213" s="2" t="s">
        <v>310</v>
      </c>
      <c r="I213" s="356">
        <v>5852</v>
      </c>
      <c r="J213" s="342">
        <v>34.09</v>
      </c>
      <c r="K213" s="357">
        <f t="shared" si="10"/>
        <v>171.66324435318273</v>
      </c>
      <c r="L213" s="476">
        <v>60</v>
      </c>
      <c r="M213" s="343">
        <f t="shared" si="11"/>
        <v>97.53333333333333</v>
      </c>
      <c r="N213" s="344">
        <f ca="1" t="shared" si="9"/>
        <v>167</v>
      </c>
      <c r="O213" s="358">
        <v>1</v>
      </c>
      <c r="P213" s="340" t="s">
        <v>464</v>
      </c>
    </row>
    <row r="214" spans="2:16" ht="39.75" customHeight="1">
      <c r="B214" s="25">
        <v>39556</v>
      </c>
      <c r="C214" s="340" t="s">
        <v>468</v>
      </c>
      <c r="D214" s="2" t="s">
        <v>1638</v>
      </c>
      <c r="E214" s="26" t="s">
        <v>1636</v>
      </c>
      <c r="F214" s="2" t="s">
        <v>42</v>
      </c>
      <c r="G214" s="2" t="s">
        <v>821</v>
      </c>
      <c r="H214" s="2" t="s">
        <v>310</v>
      </c>
      <c r="I214" s="356">
        <v>15125</v>
      </c>
      <c r="J214" s="342">
        <v>34.09</v>
      </c>
      <c r="K214" s="357">
        <f t="shared" si="10"/>
        <v>443.6784980932824</v>
      </c>
      <c r="L214" s="476">
        <v>60</v>
      </c>
      <c r="M214" s="343">
        <f t="shared" si="11"/>
        <v>252.08333333333334</v>
      </c>
      <c r="N214" s="344">
        <f ca="1" t="shared" si="9"/>
        <v>167</v>
      </c>
      <c r="O214" s="358">
        <v>1</v>
      </c>
      <c r="P214" s="340" t="s">
        <v>464</v>
      </c>
    </row>
    <row r="215" spans="2:16" ht="39.75" customHeight="1">
      <c r="B215" s="25">
        <v>39556</v>
      </c>
      <c r="C215" s="340" t="s">
        <v>468</v>
      </c>
      <c r="D215" s="2" t="s">
        <v>1639</v>
      </c>
      <c r="E215" s="26" t="s">
        <v>1637</v>
      </c>
      <c r="F215" s="2" t="s">
        <v>42</v>
      </c>
      <c r="G215" s="2" t="s">
        <v>821</v>
      </c>
      <c r="H215" s="2" t="s">
        <v>310</v>
      </c>
      <c r="I215" s="356">
        <v>13428</v>
      </c>
      <c r="J215" s="342">
        <v>34.09</v>
      </c>
      <c r="K215" s="357">
        <f t="shared" si="10"/>
        <v>393.8985039601056</v>
      </c>
      <c r="L215" s="476">
        <v>60</v>
      </c>
      <c r="M215" s="343">
        <f t="shared" si="11"/>
        <v>223.8</v>
      </c>
      <c r="N215" s="344">
        <f ca="1" t="shared" si="9"/>
        <v>167</v>
      </c>
      <c r="O215" s="358">
        <v>1</v>
      </c>
      <c r="P215" s="340" t="s">
        <v>464</v>
      </c>
    </row>
    <row r="216" spans="2:16" ht="39.75" customHeight="1">
      <c r="B216" s="25">
        <v>39556</v>
      </c>
      <c r="C216" s="340" t="s">
        <v>468</v>
      </c>
      <c r="D216" s="2" t="s">
        <v>1640</v>
      </c>
      <c r="E216" s="26" t="s">
        <v>1637</v>
      </c>
      <c r="F216" s="2" t="s">
        <v>42</v>
      </c>
      <c r="G216" s="2" t="s">
        <v>821</v>
      </c>
      <c r="H216" s="2" t="s">
        <v>310</v>
      </c>
      <c r="I216" s="356">
        <v>13428</v>
      </c>
      <c r="J216" s="342">
        <v>34.09</v>
      </c>
      <c r="K216" s="357">
        <f t="shared" si="10"/>
        <v>393.8985039601056</v>
      </c>
      <c r="L216" s="476">
        <v>60</v>
      </c>
      <c r="M216" s="343">
        <f t="shared" si="11"/>
        <v>223.8</v>
      </c>
      <c r="N216" s="344">
        <f ca="1" t="shared" si="9"/>
        <v>167</v>
      </c>
      <c r="O216" s="358">
        <v>1</v>
      </c>
      <c r="P216" s="340" t="s">
        <v>464</v>
      </c>
    </row>
    <row r="217" spans="2:16" ht="39.75" customHeight="1">
      <c r="B217" s="25">
        <v>39556</v>
      </c>
      <c r="C217" s="340" t="s">
        <v>468</v>
      </c>
      <c r="D217" s="2" t="s">
        <v>1641</v>
      </c>
      <c r="E217" s="26" t="s">
        <v>1637</v>
      </c>
      <c r="F217" s="2" t="s">
        <v>42</v>
      </c>
      <c r="G217" s="2" t="s">
        <v>821</v>
      </c>
      <c r="H217" s="2" t="s">
        <v>310</v>
      </c>
      <c r="I217" s="356">
        <v>13428</v>
      </c>
      <c r="J217" s="342">
        <v>34.09</v>
      </c>
      <c r="K217" s="357">
        <f t="shared" si="10"/>
        <v>393.8985039601056</v>
      </c>
      <c r="L217" s="476">
        <v>60</v>
      </c>
      <c r="M217" s="343">
        <f t="shared" si="11"/>
        <v>223.8</v>
      </c>
      <c r="N217" s="344">
        <f ca="1" t="shared" si="9"/>
        <v>167</v>
      </c>
      <c r="O217" s="358">
        <v>1</v>
      </c>
      <c r="P217" s="340" t="s">
        <v>464</v>
      </c>
    </row>
    <row r="218" spans="2:16" ht="39.75" customHeight="1">
      <c r="B218" s="25">
        <v>39556</v>
      </c>
      <c r="C218" s="340" t="s">
        <v>468</v>
      </c>
      <c r="D218" s="2" t="s">
        <v>1642</v>
      </c>
      <c r="E218" s="26" t="s">
        <v>1637</v>
      </c>
      <c r="F218" s="2" t="s">
        <v>42</v>
      </c>
      <c r="G218" s="2" t="s">
        <v>821</v>
      </c>
      <c r="H218" s="2" t="s">
        <v>310</v>
      </c>
      <c r="I218" s="356">
        <v>13428</v>
      </c>
      <c r="J218" s="342">
        <v>34.09</v>
      </c>
      <c r="K218" s="357">
        <f t="shared" si="10"/>
        <v>393.8985039601056</v>
      </c>
      <c r="L218" s="476">
        <v>60</v>
      </c>
      <c r="M218" s="343">
        <f t="shared" si="11"/>
        <v>223.8</v>
      </c>
      <c r="N218" s="344">
        <f ca="1" t="shared" si="9"/>
        <v>167</v>
      </c>
      <c r="O218" s="358">
        <v>1</v>
      </c>
      <c r="P218" s="340" t="s">
        <v>464</v>
      </c>
    </row>
    <row r="219" spans="2:16" ht="39.75" customHeight="1">
      <c r="B219" s="25">
        <v>39556</v>
      </c>
      <c r="C219" s="340" t="s">
        <v>468</v>
      </c>
      <c r="D219" s="2" t="s">
        <v>1643</v>
      </c>
      <c r="E219" s="26" t="s">
        <v>1637</v>
      </c>
      <c r="F219" s="2" t="s">
        <v>42</v>
      </c>
      <c r="G219" s="2" t="s">
        <v>821</v>
      </c>
      <c r="H219" s="2" t="s">
        <v>310</v>
      </c>
      <c r="I219" s="356">
        <v>13428</v>
      </c>
      <c r="J219" s="342">
        <v>34.09</v>
      </c>
      <c r="K219" s="357">
        <f t="shared" si="10"/>
        <v>393.8985039601056</v>
      </c>
      <c r="L219" s="476">
        <v>60</v>
      </c>
      <c r="M219" s="343">
        <f t="shared" si="11"/>
        <v>223.8</v>
      </c>
      <c r="N219" s="344">
        <f ca="1" t="shared" si="9"/>
        <v>167</v>
      </c>
      <c r="O219" s="358">
        <v>1</v>
      </c>
      <c r="P219" s="340" t="s">
        <v>464</v>
      </c>
    </row>
    <row r="220" spans="2:16" ht="39.75" customHeight="1">
      <c r="B220" s="25">
        <v>39556</v>
      </c>
      <c r="C220" s="340" t="s">
        <v>468</v>
      </c>
      <c r="D220" s="2" t="s">
        <v>1644</v>
      </c>
      <c r="E220" s="26" t="s">
        <v>475</v>
      </c>
      <c r="F220" s="2" t="s">
        <v>42</v>
      </c>
      <c r="G220" s="2" t="s">
        <v>821</v>
      </c>
      <c r="H220" s="2" t="s">
        <v>310</v>
      </c>
      <c r="I220" s="356">
        <v>12220.64</v>
      </c>
      <c r="J220" s="342">
        <v>34.09</v>
      </c>
      <c r="K220" s="357">
        <f t="shared" si="10"/>
        <v>358.4816661777647</v>
      </c>
      <c r="L220" s="476">
        <v>60</v>
      </c>
      <c r="M220" s="343">
        <f t="shared" si="11"/>
        <v>203.67733333333334</v>
      </c>
      <c r="N220" s="344">
        <f ca="1" t="shared" si="9"/>
        <v>167</v>
      </c>
      <c r="O220" s="358">
        <v>1</v>
      </c>
      <c r="P220" s="340" t="s">
        <v>464</v>
      </c>
    </row>
    <row r="221" spans="2:16" ht="39.75" customHeight="1">
      <c r="B221" s="25">
        <v>39556</v>
      </c>
      <c r="C221" s="340" t="s">
        <v>468</v>
      </c>
      <c r="D221" s="2" t="s">
        <v>1645</v>
      </c>
      <c r="E221" s="26" t="s">
        <v>475</v>
      </c>
      <c r="F221" s="2" t="s">
        <v>42</v>
      </c>
      <c r="G221" s="2" t="s">
        <v>821</v>
      </c>
      <c r="H221" s="2" t="s">
        <v>310</v>
      </c>
      <c r="I221" s="356">
        <v>12220.64</v>
      </c>
      <c r="J221" s="342">
        <v>34.09</v>
      </c>
      <c r="K221" s="357">
        <f t="shared" si="10"/>
        <v>358.4816661777647</v>
      </c>
      <c r="L221" s="476">
        <v>60</v>
      </c>
      <c r="M221" s="343">
        <f t="shared" si="11"/>
        <v>203.67733333333334</v>
      </c>
      <c r="N221" s="344">
        <f ca="1" t="shared" si="9"/>
        <v>167</v>
      </c>
      <c r="O221" s="358">
        <v>1</v>
      </c>
      <c r="P221" s="340" t="s">
        <v>464</v>
      </c>
    </row>
    <row r="222" spans="2:16" ht="39.75" customHeight="1">
      <c r="B222" s="25">
        <v>39556</v>
      </c>
      <c r="C222" s="340" t="s">
        <v>468</v>
      </c>
      <c r="D222" s="2" t="s">
        <v>1646</v>
      </c>
      <c r="E222" s="26" t="s">
        <v>330</v>
      </c>
      <c r="F222" s="2" t="s">
        <v>42</v>
      </c>
      <c r="G222" s="2" t="s">
        <v>821</v>
      </c>
      <c r="H222" s="2" t="s">
        <v>310</v>
      </c>
      <c r="I222" s="356">
        <v>1050</v>
      </c>
      <c r="J222" s="342">
        <v>34.09</v>
      </c>
      <c r="K222" s="357">
        <f t="shared" si="10"/>
        <v>30.80082135523614</v>
      </c>
      <c r="L222" s="476">
        <v>60</v>
      </c>
      <c r="M222" s="343">
        <f t="shared" si="11"/>
        <v>17.5</v>
      </c>
      <c r="N222" s="344">
        <f ca="1" t="shared" si="9"/>
        <v>167</v>
      </c>
      <c r="O222" s="358">
        <v>1</v>
      </c>
      <c r="P222" s="340" t="s">
        <v>464</v>
      </c>
    </row>
    <row r="223" spans="2:16" ht="39.75" customHeight="1">
      <c r="B223" s="25">
        <v>39556</v>
      </c>
      <c r="C223" s="340" t="s">
        <v>468</v>
      </c>
      <c r="D223" s="2" t="s">
        <v>1647</v>
      </c>
      <c r="E223" s="26" t="s">
        <v>330</v>
      </c>
      <c r="F223" s="2" t="s">
        <v>42</v>
      </c>
      <c r="G223" s="2" t="s">
        <v>821</v>
      </c>
      <c r="H223" s="2" t="s">
        <v>310</v>
      </c>
      <c r="I223" s="356">
        <v>1050</v>
      </c>
      <c r="J223" s="342">
        <v>34.09</v>
      </c>
      <c r="K223" s="357">
        <f t="shared" si="10"/>
        <v>30.80082135523614</v>
      </c>
      <c r="L223" s="476">
        <v>60</v>
      </c>
      <c r="M223" s="343">
        <f t="shared" si="11"/>
        <v>17.5</v>
      </c>
      <c r="N223" s="344">
        <f ca="1" t="shared" si="9"/>
        <v>167</v>
      </c>
      <c r="O223" s="358">
        <v>1</v>
      </c>
      <c r="P223" s="340" t="s">
        <v>464</v>
      </c>
    </row>
    <row r="224" spans="2:16" ht="39.75" customHeight="1">
      <c r="B224" s="25">
        <v>39556</v>
      </c>
      <c r="C224" s="340" t="s">
        <v>468</v>
      </c>
      <c r="D224" s="2" t="s">
        <v>1648</v>
      </c>
      <c r="E224" s="26" t="s">
        <v>330</v>
      </c>
      <c r="F224" s="2" t="s">
        <v>42</v>
      </c>
      <c r="G224" s="2" t="s">
        <v>821</v>
      </c>
      <c r="H224" s="2" t="s">
        <v>310</v>
      </c>
      <c r="I224" s="356">
        <v>1050</v>
      </c>
      <c r="J224" s="342">
        <v>34.09</v>
      </c>
      <c r="K224" s="357">
        <f t="shared" si="10"/>
        <v>30.80082135523614</v>
      </c>
      <c r="L224" s="476">
        <v>60</v>
      </c>
      <c r="M224" s="343">
        <f t="shared" si="11"/>
        <v>17.5</v>
      </c>
      <c r="N224" s="344">
        <f ca="1" t="shared" si="9"/>
        <v>167</v>
      </c>
      <c r="O224" s="358">
        <v>1</v>
      </c>
      <c r="P224" s="340" t="s">
        <v>464</v>
      </c>
    </row>
    <row r="225" spans="2:16" ht="39.75" customHeight="1">
      <c r="B225" s="25">
        <v>39556</v>
      </c>
      <c r="C225" s="340" t="s">
        <v>468</v>
      </c>
      <c r="D225" s="2" t="s">
        <v>1649</v>
      </c>
      <c r="E225" s="26" t="s">
        <v>330</v>
      </c>
      <c r="F225" s="2" t="s">
        <v>42</v>
      </c>
      <c r="G225" s="2" t="s">
        <v>821</v>
      </c>
      <c r="H225" s="2" t="s">
        <v>310</v>
      </c>
      <c r="I225" s="356">
        <v>1050</v>
      </c>
      <c r="J225" s="342">
        <v>34.09</v>
      </c>
      <c r="K225" s="357">
        <f t="shared" si="10"/>
        <v>30.80082135523614</v>
      </c>
      <c r="L225" s="476">
        <v>60</v>
      </c>
      <c r="M225" s="343">
        <f t="shared" si="11"/>
        <v>17.5</v>
      </c>
      <c r="N225" s="344">
        <f ca="1" t="shared" si="9"/>
        <v>167</v>
      </c>
      <c r="O225" s="358">
        <v>1</v>
      </c>
      <c r="P225" s="340" t="s">
        <v>464</v>
      </c>
    </row>
    <row r="226" spans="2:16" ht="39.75" customHeight="1">
      <c r="B226" s="25">
        <v>39556</v>
      </c>
      <c r="C226" s="340" t="s">
        <v>468</v>
      </c>
      <c r="D226" s="2" t="s">
        <v>1657</v>
      </c>
      <c r="E226" s="26" t="s">
        <v>802</v>
      </c>
      <c r="F226" s="2" t="s">
        <v>42</v>
      </c>
      <c r="G226" s="2" t="s">
        <v>821</v>
      </c>
      <c r="H226" s="2" t="s">
        <v>310</v>
      </c>
      <c r="I226" s="356">
        <v>9782</v>
      </c>
      <c r="J226" s="342">
        <v>34.09</v>
      </c>
      <c r="K226" s="357">
        <f t="shared" si="10"/>
        <v>286.94631856849514</v>
      </c>
      <c r="L226" s="476">
        <v>60</v>
      </c>
      <c r="M226" s="343">
        <f t="shared" si="11"/>
        <v>163.03333333333333</v>
      </c>
      <c r="N226" s="344">
        <f ca="1" t="shared" si="9"/>
        <v>167</v>
      </c>
      <c r="O226" s="358">
        <v>1</v>
      </c>
      <c r="P226" s="340" t="s">
        <v>464</v>
      </c>
    </row>
    <row r="227" spans="2:16" ht="39.75" customHeight="1">
      <c r="B227" s="25">
        <v>39556</v>
      </c>
      <c r="C227" s="340" t="s">
        <v>468</v>
      </c>
      <c r="D227" s="2" t="s">
        <v>1658</v>
      </c>
      <c r="E227" s="26" t="s">
        <v>802</v>
      </c>
      <c r="F227" s="2" t="s">
        <v>42</v>
      </c>
      <c r="G227" s="2" t="s">
        <v>821</v>
      </c>
      <c r="H227" s="2" t="s">
        <v>310</v>
      </c>
      <c r="I227" s="356">
        <v>9782</v>
      </c>
      <c r="J227" s="342">
        <v>34.09</v>
      </c>
      <c r="K227" s="357">
        <f t="shared" si="10"/>
        <v>286.94631856849514</v>
      </c>
      <c r="L227" s="476">
        <v>60</v>
      </c>
      <c r="M227" s="343">
        <f t="shared" si="11"/>
        <v>163.03333333333333</v>
      </c>
      <c r="N227" s="344">
        <f ca="1" t="shared" si="9"/>
        <v>167</v>
      </c>
      <c r="O227" s="358">
        <v>1</v>
      </c>
      <c r="P227" s="340" t="s">
        <v>464</v>
      </c>
    </row>
    <row r="228" spans="2:16" ht="39.75" customHeight="1">
      <c r="B228" s="25">
        <v>39556</v>
      </c>
      <c r="C228" s="340" t="s">
        <v>468</v>
      </c>
      <c r="D228" s="2" t="s">
        <v>1659</v>
      </c>
      <c r="E228" s="26" t="s">
        <v>802</v>
      </c>
      <c r="F228" s="2" t="s">
        <v>42</v>
      </c>
      <c r="G228" s="2" t="s">
        <v>821</v>
      </c>
      <c r="H228" s="2" t="s">
        <v>310</v>
      </c>
      <c r="I228" s="356">
        <v>9782</v>
      </c>
      <c r="J228" s="342">
        <v>34.09</v>
      </c>
      <c r="K228" s="357">
        <f t="shared" si="10"/>
        <v>286.94631856849514</v>
      </c>
      <c r="L228" s="476">
        <v>60</v>
      </c>
      <c r="M228" s="343">
        <f t="shared" si="11"/>
        <v>163.03333333333333</v>
      </c>
      <c r="N228" s="344">
        <f ca="1" t="shared" si="9"/>
        <v>167</v>
      </c>
      <c r="O228" s="358">
        <v>1</v>
      </c>
      <c r="P228" s="340" t="s">
        <v>464</v>
      </c>
    </row>
    <row r="229" spans="2:16" ht="39.75" customHeight="1">
      <c r="B229" s="25">
        <v>39556</v>
      </c>
      <c r="C229" s="340" t="s">
        <v>468</v>
      </c>
      <c r="D229" s="2" t="s">
        <v>1650</v>
      </c>
      <c r="E229" s="26" t="s">
        <v>470</v>
      </c>
      <c r="F229" s="2" t="s">
        <v>42</v>
      </c>
      <c r="G229" s="2" t="s">
        <v>821</v>
      </c>
      <c r="H229" s="2" t="s">
        <v>310</v>
      </c>
      <c r="I229" s="356">
        <v>9782</v>
      </c>
      <c r="J229" s="342">
        <v>34.09</v>
      </c>
      <c r="K229" s="357">
        <f t="shared" si="10"/>
        <v>286.94631856849514</v>
      </c>
      <c r="L229" s="476">
        <v>60</v>
      </c>
      <c r="M229" s="343">
        <f t="shared" si="11"/>
        <v>163.03333333333333</v>
      </c>
      <c r="N229" s="344">
        <f ca="1" t="shared" si="9"/>
        <v>167</v>
      </c>
      <c r="O229" s="358">
        <v>1</v>
      </c>
      <c r="P229" s="340" t="s">
        <v>464</v>
      </c>
    </row>
    <row r="230" spans="2:16" ht="39.75" customHeight="1">
      <c r="B230" s="25">
        <v>39556</v>
      </c>
      <c r="C230" s="340" t="s">
        <v>468</v>
      </c>
      <c r="D230" s="2" t="s">
        <v>1651</v>
      </c>
      <c r="E230" s="26" t="s">
        <v>470</v>
      </c>
      <c r="F230" s="2" t="s">
        <v>42</v>
      </c>
      <c r="G230" s="2" t="s">
        <v>821</v>
      </c>
      <c r="H230" s="2" t="s">
        <v>310</v>
      </c>
      <c r="I230" s="356">
        <v>9782</v>
      </c>
      <c r="J230" s="342">
        <v>34.09</v>
      </c>
      <c r="K230" s="357">
        <f t="shared" si="10"/>
        <v>286.94631856849514</v>
      </c>
      <c r="L230" s="476">
        <v>60</v>
      </c>
      <c r="M230" s="343">
        <f t="shared" si="11"/>
        <v>163.03333333333333</v>
      </c>
      <c r="N230" s="344">
        <f ca="1" t="shared" si="9"/>
        <v>167</v>
      </c>
      <c r="O230" s="358">
        <v>1</v>
      </c>
      <c r="P230" s="340" t="s">
        <v>464</v>
      </c>
    </row>
    <row r="231" spans="2:16" ht="39.75" customHeight="1">
      <c r="B231" s="25">
        <v>39556</v>
      </c>
      <c r="C231" s="340" t="s">
        <v>468</v>
      </c>
      <c r="D231" s="2" t="s">
        <v>1652</v>
      </c>
      <c r="E231" s="26" t="s">
        <v>470</v>
      </c>
      <c r="F231" s="2" t="s">
        <v>42</v>
      </c>
      <c r="G231" s="2" t="s">
        <v>821</v>
      </c>
      <c r="H231" s="2" t="s">
        <v>310</v>
      </c>
      <c r="I231" s="356">
        <v>9782</v>
      </c>
      <c r="J231" s="342">
        <v>34.09</v>
      </c>
      <c r="K231" s="357">
        <f t="shared" si="10"/>
        <v>286.94631856849514</v>
      </c>
      <c r="L231" s="476">
        <v>60</v>
      </c>
      <c r="M231" s="343">
        <f t="shared" si="11"/>
        <v>163.03333333333333</v>
      </c>
      <c r="N231" s="344">
        <f ca="1" t="shared" si="9"/>
        <v>167</v>
      </c>
      <c r="O231" s="358">
        <v>1</v>
      </c>
      <c r="P231" s="340" t="s">
        <v>464</v>
      </c>
    </row>
    <row r="232" spans="2:16" ht="39.75" customHeight="1">
      <c r="B232" s="25">
        <v>39556</v>
      </c>
      <c r="C232" s="340" t="s">
        <v>468</v>
      </c>
      <c r="D232" s="2" t="s">
        <v>1653</v>
      </c>
      <c r="E232" s="26" t="s">
        <v>470</v>
      </c>
      <c r="F232" s="2" t="s">
        <v>42</v>
      </c>
      <c r="G232" s="2" t="s">
        <v>821</v>
      </c>
      <c r="H232" s="2" t="s">
        <v>310</v>
      </c>
      <c r="I232" s="356">
        <v>9782</v>
      </c>
      <c r="J232" s="342">
        <v>34.09</v>
      </c>
      <c r="K232" s="357">
        <f t="shared" si="10"/>
        <v>286.94631856849514</v>
      </c>
      <c r="L232" s="476">
        <v>60</v>
      </c>
      <c r="M232" s="343">
        <f t="shared" si="11"/>
        <v>163.03333333333333</v>
      </c>
      <c r="N232" s="344">
        <f ca="1" t="shared" si="9"/>
        <v>167</v>
      </c>
      <c r="O232" s="358">
        <v>1</v>
      </c>
      <c r="P232" s="340" t="s">
        <v>464</v>
      </c>
    </row>
    <row r="233" spans="2:16" ht="39.75" customHeight="1">
      <c r="B233" s="25">
        <v>39556</v>
      </c>
      <c r="C233" s="340" t="s">
        <v>468</v>
      </c>
      <c r="D233" s="2" t="s">
        <v>1654</v>
      </c>
      <c r="E233" s="26" t="s">
        <v>470</v>
      </c>
      <c r="F233" s="2" t="s">
        <v>42</v>
      </c>
      <c r="G233" s="2" t="s">
        <v>821</v>
      </c>
      <c r="H233" s="2" t="s">
        <v>310</v>
      </c>
      <c r="I233" s="356">
        <v>9782</v>
      </c>
      <c r="J233" s="342">
        <v>34.09</v>
      </c>
      <c r="K233" s="357">
        <f t="shared" si="10"/>
        <v>286.94631856849514</v>
      </c>
      <c r="L233" s="476">
        <v>60</v>
      </c>
      <c r="M233" s="343">
        <f t="shared" si="11"/>
        <v>163.03333333333333</v>
      </c>
      <c r="N233" s="344">
        <f ca="1" t="shared" si="9"/>
        <v>167</v>
      </c>
      <c r="O233" s="358">
        <v>1</v>
      </c>
      <c r="P233" s="340" t="s">
        <v>464</v>
      </c>
    </row>
    <row r="234" spans="2:16" ht="39.75" customHeight="1">
      <c r="B234" s="25">
        <v>39556</v>
      </c>
      <c r="C234" s="340" t="s">
        <v>468</v>
      </c>
      <c r="D234" s="2" t="s">
        <v>1655</v>
      </c>
      <c r="E234" s="26" t="s">
        <v>470</v>
      </c>
      <c r="F234" s="2" t="s">
        <v>42</v>
      </c>
      <c r="G234" s="2" t="s">
        <v>821</v>
      </c>
      <c r="H234" s="2" t="s">
        <v>310</v>
      </c>
      <c r="I234" s="356">
        <v>9782</v>
      </c>
      <c r="J234" s="342">
        <v>34.09</v>
      </c>
      <c r="K234" s="357">
        <f t="shared" si="10"/>
        <v>286.94631856849514</v>
      </c>
      <c r="L234" s="476">
        <v>60</v>
      </c>
      <c r="M234" s="343">
        <f t="shared" si="11"/>
        <v>163.03333333333333</v>
      </c>
      <c r="N234" s="344">
        <f ca="1" t="shared" si="9"/>
        <v>167</v>
      </c>
      <c r="O234" s="358">
        <v>1</v>
      </c>
      <c r="P234" s="340" t="s">
        <v>464</v>
      </c>
    </row>
    <row r="235" spans="2:16" ht="39.75" customHeight="1">
      <c r="B235" s="25">
        <v>39556</v>
      </c>
      <c r="C235" s="340" t="s">
        <v>468</v>
      </c>
      <c r="D235" s="2" t="s">
        <v>1656</v>
      </c>
      <c r="E235" s="26" t="s">
        <v>471</v>
      </c>
      <c r="F235" s="2" t="s">
        <v>42</v>
      </c>
      <c r="G235" s="2" t="s">
        <v>821</v>
      </c>
      <c r="H235" s="2" t="s">
        <v>310</v>
      </c>
      <c r="I235" s="356">
        <v>11050</v>
      </c>
      <c r="J235" s="342">
        <v>34.09</v>
      </c>
      <c r="K235" s="357">
        <f t="shared" si="10"/>
        <v>324.1419771193898</v>
      </c>
      <c r="L235" s="476">
        <v>60</v>
      </c>
      <c r="M235" s="343">
        <f t="shared" si="11"/>
        <v>184.16666666666666</v>
      </c>
      <c r="N235" s="344">
        <f ca="1" t="shared" si="9"/>
        <v>167</v>
      </c>
      <c r="O235" s="358">
        <v>1</v>
      </c>
      <c r="P235" s="340" t="s">
        <v>464</v>
      </c>
    </row>
    <row r="236" spans="2:16" ht="39.75" customHeight="1">
      <c r="B236" s="25">
        <v>39556</v>
      </c>
      <c r="C236" s="340" t="s">
        <v>468</v>
      </c>
      <c r="D236" s="2" t="s">
        <v>1671</v>
      </c>
      <c r="E236" s="26" t="s">
        <v>473</v>
      </c>
      <c r="F236" s="2" t="s">
        <v>42</v>
      </c>
      <c r="G236" s="2" t="s">
        <v>821</v>
      </c>
      <c r="H236" s="2" t="s">
        <v>310</v>
      </c>
      <c r="I236" s="356">
        <v>23507</v>
      </c>
      <c r="J236" s="342">
        <v>34.09</v>
      </c>
      <c r="K236" s="357">
        <f t="shared" si="10"/>
        <v>689.5570548547961</v>
      </c>
      <c r="L236" s="476">
        <v>60</v>
      </c>
      <c r="M236" s="343">
        <f t="shared" si="11"/>
        <v>391.78333333333336</v>
      </c>
      <c r="N236" s="344">
        <f ca="1" t="shared" si="9"/>
        <v>167</v>
      </c>
      <c r="O236" s="358">
        <v>1</v>
      </c>
      <c r="P236" s="340" t="s">
        <v>464</v>
      </c>
    </row>
    <row r="237" spans="2:16" ht="39.75" customHeight="1">
      <c r="B237" s="25">
        <v>39556</v>
      </c>
      <c r="C237" s="340" t="s">
        <v>468</v>
      </c>
      <c r="D237" s="2" t="s">
        <v>1672</v>
      </c>
      <c r="E237" s="26" t="s">
        <v>474</v>
      </c>
      <c r="F237" s="2" t="s">
        <v>42</v>
      </c>
      <c r="G237" s="2" t="s">
        <v>821</v>
      </c>
      <c r="H237" s="2" t="s">
        <v>310</v>
      </c>
      <c r="I237" s="356">
        <v>34540</v>
      </c>
      <c r="J237" s="342">
        <v>34.09</v>
      </c>
      <c r="K237" s="357">
        <f t="shared" si="10"/>
        <v>1013.2003520093868</v>
      </c>
      <c r="L237" s="476">
        <v>60</v>
      </c>
      <c r="M237" s="343">
        <f t="shared" si="11"/>
        <v>575.6666666666666</v>
      </c>
      <c r="N237" s="344">
        <f ca="1" t="shared" si="9"/>
        <v>167</v>
      </c>
      <c r="O237" s="358">
        <v>1</v>
      </c>
      <c r="P237" s="340" t="s">
        <v>464</v>
      </c>
    </row>
    <row r="238" spans="2:16" ht="39.75" customHeight="1">
      <c r="B238" s="25">
        <v>39556</v>
      </c>
      <c r="C238" s="340" t="s">
        <v>468</v>
      </c>
      <c r="D238" s="2" t="s">
        <v>1660</v>
      </c>
      <c r="E238" s="26" t="s">
        <v>250</v>
      </c>
      <c r="F238" s="2" t="s">
        <v>42</v>
      </c>
      <c r="G238" s="2" t="s">
        <v>821</v>
      </c>
      <c r="H238" s="2" t="s">
        <v>310</v>
      </c>
      <c r="I238" s="356">
        <v>12290</v>
      </c>
      <c r="J238" s="342">
        <v>34.09</v>
      </c>
      <c r="K238" s="357">
        <f t="shared" si="10"/>
        <v>360.51628043414485</v>
      </c>
      <c r="L238" s="476">
        <v>60</v>
      </c>
      <c r="M238" s="343">
        <f t="shared" si="11"/>
        <v>204.83333333333334</v>
      </c>
      <c r="N238" s="344">
        <f ca="1" t="shared" si="9"/>
        <v>167</v>
      </c>
      <c r="O238" s="358">
        <v>1</v>
      </c>
      <c r="P238" s="340" t="s">
        <v>464</v>
      </c>
    </row>
    <row r="239" spans="2:16" ht="39.75" customHeight="1">
      <c r="B239" s="25">
        <v>39556</v>
      </c>
      <c r="C239" s="340" t="s">
        <v>468</v>
      </c>
      <c r="D239" s="2" t="s">
        <v>1661</v>
      </c>
      <c r="E239" s="26" t="s">
        <v>472</v>
      </c>
      <c r="F239" s="2" t="s">
        <v>42</v>
      </c>
      <c r="G239" s="2" t="s">
        <v>821</v>
      </c>
      <c r="H239" s="2" t="s">
        <v>310</v>
      </c>
      <c r="I239" s="356">
        <v>5680</v>
      </c>
      <c r="J239" s="342">
        <v>34.09</v>
      </c>
      <c r="K239" s="357">
        <f t="shared" si="10"/>
        <v>166.6177764740393</v>
      </c>
      <c r="L239" s="476">
        <v>60</v>
      </c>
      <c r="M239" s="343">
        <f t="shared" si="11"/>
        <v>94.66666666666667</v>
      </c>
      <c r="N239" s="344">
        <f ca="1" t="shared" si="9"/>
        <v>167</v>
      </c>
      <c r="O239" s="358">
        <v>1</v>
      </c>
      <c r="P239" s="340" t="s">
        <v>464</v>
      </c>
    </row>
    <row r="240" spans="2:16" ht="39.75" customHeight="1">
      <c r="B240" s="25">
        <v>39556</v>
      </c>
      <c r="C240" s="340" t="s">
        <v>468</v>
      </c>
      <c r="D240" s="2" t="s">
        <v>1662</v>
      </c>
      <c r="E240" s="26" t="s">
        <v>472</v>
      </c>
      <c r="F240" s="2" t="s">
        <v>42</v>
      </c>
      <c r="G240" s="2" t="s">
        <v>821</v>
      </c>
      <c r="H240" s="2" t="s">
        <v>310</v>
      </c>
      <c r="I240" s="356">
        <v>5680</v>
      </c>
      <c r="J240" s="342">
        <v>34.09</v>
      </c>
      <c r="K240" s="357">
        <f t="shared" si="10"/>
        <v>166.6177764740393</v>
      </c>
      <c r="L240" s="476">
        <v>60</v>
      </c>
      <c r="M240" s="343">
        <f t="shared" si="11"/>
        <v>94.66666666666667</v>
      </c>
      <c r="N240" s="344">
        <f ca="1" t="shared" si="9"/>
        <v>167</v>
      </c>
      <c r="O240" s="358">
        <v>1</v>
      </c>
      <c r="P240" s="340" t="s">
        <v>464</v>
      </c>
    </row>
    <row r="241" spans="2:16" ht="39.75" customHeight="1">
      <c r="B241" s="25">
        <v>39556</v>
      </c>
      <c r="C241" s="340" t="s">
        <v>468</v>
      </c>
      <c r="D241" s="2" t="s">
        <v>1663</v>
      </c>
      <c r="E241" s="26" t="s">
        <v>472</v>
      </c>
      <c r="F241" s="2" t="s">
        <v>42</v>
      </c>
      <c r="G241" s="2" t="s">
        <v>821</v>
      </c>
      <c r="H241" s="2" t="s">
        <v>310</v>
      </c>
      <c r="I241" s="356">
        <v>5680</v>
      </c>
      <c r="J241" s="342">
        <v>34.09</v>
      </c>
      <c r="K241" s="357">
        <f t="shared" si="10"/>
        <v>166.6177764740393</v>
      </c>
      <c r="L241" s="476">
        <v>60</v>
      </c>
      <c r="M241" s="343">
        <f t="shared" si="11"/>
        <v>94.66666666666667</v>
      </c>
      <c r="N241" s="344">
        <f ca="1" t="shared" si="9"/>
        <v>167</v>
      </c>
      <c r="O241" s="358">
        <v>1</v>
      </c>
      <c r="P241" s="340" t="s">
        <v>464</v>
      </c>
    </row>
    <row r="242" spans="2:16" ht="39.75" customHeight="1">
      <c r="B242" s="25">
        <v>39556</v>
      </c>
      <c r="C242" s="340" t="s">
        <v>468</v>
      </c>
      <c r="D242" s="2" t="s">
        <v>1664</v>
      </c>
      <c r="E242" s="26" t="s">
        <v>472</v>
      </c>
      <c r="F242" s="2" t="s">
        <v>42</v>
      </c>
      <c r="G242" s="2" t="s">
        <v>821</v>
      </c>
      <c r="H242" s="2" t="s">
        <v>310</v>
      </c>
      <c r="I242" s="356">
        <v>5680</v>
      </c>
      <c r="J242" s="342">
        <v>34.09</v>
      </c>
      <c r="K242" s="357">
        <f t="shared" si="10"/>
        <v>166.6177764740393</v>
      </c>
      <c r="L242" s="476">
        <v>60</v>
      </c>
      <c r="M242" s="343">
        <f t="shared" si="11"/>
        <v>94.66666666666667</v>
      </c>
      <c r="N242" s="344">
        <f ca="1" t="shared" si="9"/>
        <v>167</v>
      </c>
      <c r="O242" s="358">
        <v>1</v>
      </c>
      <c r="P242" s="340" t="s">
        <v>464</v>
      </c>
    </row>
    <row r="243" spans="2:16" ht="39.75" customHeight="1">
      <c r="B243" s="25">
        <v>39556</v>
      </c>
      <c r="C243" s="340" t="s">
        <v>468</v>
      </c>
      <c r="D243" s="2" t="s">
        <v>1665</v>
      </c>
      <c r="E243" s="26" t="s">
        <v>472</v>
      </c>
      <c r="F243" s="2" t="s">
        <v>42</v>
      </c>
      <c r="G243" s="2" t="s">
        <v>821</v>
      </c>
      <c r="H243" s="2" t="s">
        <v>310</v>
      </c>
      <c r="I243" s="356">
        <v>5680</v>
      </c>
      <c r="J243" s="342">
        <v>34.09</v>
      </c>
      <c r="K243" s="357">
        <f t="shared" si="10"/>
        <v>166.6177764740393</v>
      </c>
      <c r="L243" s="476">
        <v>60</v>
      </c>
      <c r="M243" s="343">
        <f t="shared" si="11"/>
        <v>94.66666666666667</v>
      </c>
      <c r="N243" s="344">
        <f ca="1" t="shared" si="9"/>
        <v>167</v>
      </c>
      <c r="O243" s="358">
        <v>1</v>
      </c>
      <c r="P243" s="340" t="s">
        <v>464</v>
      </c>
    </row>
    <row r="244" spans="2:16" ht="39.75" customHeight="1">
      <c r="B244" s="25">
        <v>39556</v>
      </c>
      <c r="C244" s="340" t="s">
        <v>468</v>
      </c>
      <c r="D244" s="2" t="s">
        <v>1668</v>
      </c>
      <c r="E244" s="26" t="s">
        <v>502</v>
      </c>
      <c r="F244" s="2" t="s">
        <v>42</v>
      </c>
      <c r="G244" s="2" t="s">
        <v>821</v>
      </c>
      <c r="H244" s="2" t="s">
        <v>310</v>
      </c>
      <c r="I244" s="356">
        <v>6775</v>
      </c>
      <c r="J244" s="342">
        <v>34.09</v>
      </c>
      <c r="K244" s="357">
        <f t="shared" si="10"/>
        <v>198.73863303021412</v>
      </c>
      <c r="L244" s="476">
        <v>60</v>
      </c>
      <c r="M244" s="343">
        <f t="shared" si="11"/>
        <v>112.91666666666667</v>
      </c>
      <c r="N244" s="344">
        <f ca="1" t="shared" si="9"/>
        <v>167</v>
      </c>
      <c r="O244" s="358">
        <v>1</v>
      </c>
      <c r="P244" s="340" t="s">
        <v>464</v>
      </c>
    </row>
    <row r="245" spans="2:16" ht="39.75" customHeight="1">
      <c r="B245" s="25">
        <v>39556</v>
      </c>
      <c r="C245" s="340" t="s">
        <v>468</v>
      </c>
      <c r="D245" s="2" t="s">
        <v>1669</v>
      </c>
      <c r="E245" s="26" t="s">
        <v>502</v>
      </c>
      <c r="F245" s="2" t="s">
        <v>42</v>
      </c>
      <c r="G245" s="2" t="s">
        <v>821</v>
      </c>
      <c r="H245" s="2" t="s">
        <v>310</v>
      </c>
      <c r="I245" s="356">
        <v>6775</v>
      </c>
      <c r="J245" s="342">
        <v>34.09</v>
      </c>
      <c r="K245" s="357">
        <f t="shared" si="10"/>
        <v>198.73863303021412</v>
      </c>
      <c r="L245" s="476">
        <v>60</v>
      </c>
      <c r="M245" s="343">
        <f t="shared" si="11"/>
        <v>112.91666666666667</v>
      </c>
      <c r="N245" s="344">
        <f ca="1" t="shared" si="9"/>
        <v>167</v>
      </c>
      <c r="O245" s="358">
        <v>1</v>
      </c>
      <c r="P245" s="340" t="s">
        <v>464</v>
      </c>
    </row>
    <row r="246" spans="2:16" ht="39.75" customHeight="1">
      <c r="B246" s="25">
        <v>39556</v>
      </c>
      <c r="C246" s="340" t="s">
        <v>468</v>
      </c>
      <c r="D246" s="2" t="s">
        <v>1670</v>
      </c>
      <c r="E246" s="26" t="s">
        <v>502</v>
      </c>
      <c r="F246" s="2" t="s">
        <v>42</v>
      </c>
      <c r="G246" s="2" t="s">
        <v>821</v>
      </c>
      <c r="H246" s="2" t="s">
        <v>310</v>
      </c>
      <c r="I246" s="356">
        <v>6775</v>
      </c>
      <c r="J246" s="342">
        <v>34.09</v>
      </c>
      <c r="K246" s="357">
        <f t="shared" si="10"/>
        <v>198.73863303021412</v>
      </c>
      <c r="L246" s="476">
        <v>60</v>
      </c>
      <c r="M246" s="343">
        <f t="shared" si="11"/>
        <v>112.91666666666667</v>
      </c>
      <c r="N246" s="344">
        <f ca="1" t="shared" si="9"/>
        <v>167</v>
      </c>
      <c r="O246" s="358">
        <v>1</v>
      </c>
      <c r="P246" s="340" t="s">
        <v>464</v>
      </c>
    </row>
    <row r="247" spans="2:16" ht="39.75" customHeight="1">
      <c r="B247" s="25">
        <v>39556</v>
      </c>
      <c r="C247" s="340" t="s">
        <v>468</v>
      </c>
      <c r="D247" s="2" t="s">
        <v>1666</v>
      </c>
      <c r="E247" s="26" t="s">
        <v>502</v>
      </c>
      <c r="F247" s="2" t="s">
        <v>42</v>
      </c>
      <c r="G247" s="2" t="s">
        <v>821</v>
      </c>
      <c r="H247" s="2" t="s">
        <v>310</v>
      </c>
      <c r="I247" s="356">
        <v>6775</v>
      </c>
      <c r="J247" s="342">
        <v>34.09</v>
      </c>
      <c r="K247" s="357">
        <f t="shared" si="10"/>
        <v>198.73863303021412</v>
      </c>
      <c r="L247" s="476">
        <v>60</v>
      </c>
      <c r="M247" s="343">
        <f t="shared" si="11"/>
        <v>112.91666666666667</v>
      </c>
      <c r="N247" s="344">
        <f ca="1" t="shared" si="9"/>
        <v>167</v>
      </c>
      <c r="O247" s="358">
        <v>1</v>
      </c>
      <c r="P247" s="340" t="s">
        <v>464</v>
      </c>
    </row>
    <row r="248" spans="2:16" ht="39.75" customHeight="1">
      <c r="B248" s="25">
        <v>39556</v>
      </c>
      <c r="C248" s="340" t="s">
        <v>468</v>
      </c>
      <c r="D248" s="2" t="s">
        <v>1667</v>
      </c>
      <c r="E248" s="26" t="s">
        <v>502</v>
      </c>
      <c r="F248" s="2" t="s">
        <v>42</v>
      </c>
      <c r="G248" s="2" t="s">
        <v>821</v>
      </c>
      <c r="H248" s="2" t="s">
        <v>310</v>
      </c>
      <c r="I248" s="356">
        <v>6775</v>
      </c>
      <c r="J248" s="342">
        <v>34.09</v>
      </c>
      <c r="K248" s="357">
        <f t="shared" si="10"/>
        <v>198.73863303021412</v>
      </c>
      <c r="L248" s="476">
        <v>60</v>
      </c>
      <c r="M248" s="343">
        <f t="shared" si="11"/>
        <v>112.91666666666667</v>
      </c>
      <c r="N248" s="344">
        <f ca="1" t="shared" si="9"/>
        <v>167</v>
      </c>
      <c r="O248" s="358">
        <v>1</v>
      </c>
      <c r="P248" s="340" t="s">
        <v>464</v>
      </c>
    </row>
    <row r="249" spans="2:16" ht="39.75" customHeight="1">
      <c r="B249" s="25">
        <v>39595</v>
      </c>
      <c r="C249" s="340" t="s">
        <v>482</v>
      </c>
      <c r="D249" s="2" t="s">
        <v>1802</v>
      </c>
      <c r="E249" s="26" t="s">
        <v>485</v>
      </c>
      <c r="F249" s="2" t="s">
        <v>42</v>
      </c>
      <c r="G249" s="2" t="s">
        <v>821</v>
      </c>
      <c r="H249" s="2" t="s">
        <v>366</v>
      </c>
      <c r="I249" s="356">
        <v>8692.19</v>
      </c>
      <c r="J249" s="342">
        <v>33.45</v>
      </c>
      <c r="K249" s="357">
        <f t="shared" si="10"/>
        <v>259.8562032884903</v>
      </c>
      <c r="L249" s="476">
        <v>60</v>
      </c>
      <c r="M249" s="343">
        <f t="shared" si="11"/>
        <v>144.86983333333333</v>
      </c>
      <c r="N249" s="344">
        <f ca="1" t="shared" si="9"/>
        <v>166</v>
      </c>
      <c r="O249" s="358">
        <v>1</v>
      </c>
      <c r="P249" s="340" t="s">
        <v>159</v>
      </c>
    </row>
    <row r="250" spans="2:16" ht="39.75" customHeight="1">
      <c r="B250" s="25">
        <v>39595</v>
      </c>
      <c r="C250" s="340" t="s">
        <v>482</v>
      </c>
      <c r="D250" s="2" t="s">
        <v>1803</v>
      </c>
      <c r="E250" s="26" t="s">
        <v>485</v>
      </c>
      <c r="F250" s="2" t="s">
        <v>42</v>
      </c>
      <c r="G250" s="2" t="s">
        <v>821</v>
      </c>
      <c r="H250" s="2" t="s">
        <v>366</v>
      </c>
      <c r="I250" s="356">
        <v>8692.19</v>
      </c>
      <c r="J250" s="342">
        <v>33.45</v>
      </c>
      <c r="K250" s="357">
        <f t="shared" si="10"/>
        <v>259.8562032884903</v>
      </c>
      <c r="L250" s="476">
        <v>60</v>
      </c>
      <c r="M250" s="343">
        <f t="shared" si="11"/>
        <v>144.86983333333333</v>
      </c>
      <c r="N250" s="344">
        <f ca="1" t="shared" si="9"/>
        <v>166</v>
      </c>
      <c r="O250" s="358">
        <v>1</v>
      </c>
      <c r="P250" s="340" t="s">
        <v>159</v>
      </c>
    </row>
    <row r="251" spans="2:16" ht="39.75" customHeight="1">
      <c r="B251" s="25">
        <v>39595</v>
      </c>
      <c r="C251" s="340" t="s">
        <v>482</v>
      </c>
      <c r="D251" s="2" t="s">
        <v>1804</v>
      </c>
      <c r="E251" s="26" t="s">
        <v>485</v>
      </c>
      <c r="F251" s="2" t="s">
        <v>42</v>
      </c>
      <c r="G251" s="2" t="s">
        <v>821</v>
      </c>
      <c r="H251" s="2" t="s">
        <v>366</v>
      </c>
      <c r="I251" s="356">
        <v>8692.19</v>
      </c>
      <c r="J251" s="342">
        <v>33.45</v>
      </c>
      <c r="K251" s="357">
        <f t="shared" si="10"/>
        <v>259.8562032884903</v>
      </c>
      <c r="L251" s="476">
        <v>60</v>
      </c>
      <c r="M251" s="343">
        <f t="shared" si="11"/>
        <v>144.86983333333333</v>
      </c>
      <c r="N251" s="344">
        <f ca="1" t="shared" si="9"/>
        <v>166</v>
      </c>
      <c r="O251" s="358">
        <v>1</v>
      </c>
      <c r="P251" s="340" t="s">
        <v>159</v>
      </c>
    </row>
    <row r="252" spans="2:16" ht="39.75" customHeight="1">
      <c r="B252" s="25">
        <v>39595</v>
      </c>
      <c r="C252" s="340" t="s">
        <v>482</v>
      </c>
      <c r="D252" s="2" t="s">
        <v>1800</v>
      </c>
      <c r="E252" s="26" t="s">
        <v>1805</v>
      </c>
      <c r="F252" s="2" t="s">
        <v>42</v>
      </c>
      <c r="G252" s="2" t="s">
        <v>821</v>
      </c>
      <c r="H252" s="2" t="s">
        <v>366</v>
      </c>
      <c r="I252" s="356">
        <v>4268.92</v>
      </c>
      <c r="J252" s="342">
        <v>33.45</v>
      </c>
      <c r="K252" s="357">
        <f t="shared" si="10"/>
        <v>127.62092675635276</v>
      </c>
      <c r="L252" s="476">
        <v>60</v>
      </c>
      <c r="M252" s="343">
        <f t="shared" si="11"/>
        <v>71.14866666666667</v>
      </c>
      <c r="N252" s="344">
        <f ca="1" t="shared" si="9"/>
        <v>166</v>
      </c>
      <c r="O252" s="358">
        <v>1</v>
      </c>
      <c r="P252" s="340" t="s">
        <v>159</v>
      </c>
    </row>
    <row r="253" spans="2:16" ht="39.75" customHeight="1">
      <c r="B253" s="25">
        <v>39595</v>
      </c>
      <c r="C253" s="340" t="s">
        <v>482</v>
      </c>
      <c r="D253" s="2" t="s">
        <v>1806</v>
      </c>
      <c r="E253" s="26" t="s">
        <v>483</v>
      </c>
      <c r="F253" s="2" t="s">
        <v>42</v>
      </c>
      <c r="G253" s="2" t="s">
        <v>821</v>
      </c>
      <c r="H253" s="2" t="s">
        <v>366</v>
      </c>
      <c r="I253" s="356">
        <v>9986.5</v>
      </c>
      <c r="J253" s="342">
        <v>33.45</v>
      </c>
      <c r="K253" s="357">
        <f t="shared" si="10"/>
        <v>298.5500747384155</v>
      </c>
      <c r="L253" s="476">
        <v>60</v>
      </c>
      <c r="M253" s="343">
        <f t="shared" si="11"/>
        <v>166.44166666666666</v>
      </c>
      <c r="N253" s="344">
        <f ca="1" t="shared" si="9"/>
        <v>166</v>
      </c>
      <c r="O253" s="358">
        <v>1</v>
      </c>
      <c r="P253" s="340" t="s">
        <v>159</v>
      </c>
    </row>
    <row r="254" spans="2:16" ht="39.75" customHeight="1">
      <c r="B254" s="25">
        <v>39595</v>
      </c>
      <c r="C254" s="340" t="s">
        <v>482</v>
      </c>
      <c r="D254" s="2" t="s">
        <v>1807</v>
      </c>
      <c r="E254" s="26" t="s">
        <v>484</v>
      </c>
      <c r="F254" s="2" t="s">
        <v>42</v>
      </c>
      <c r="G254" s="2" t="s">
        <v>821</v>
      </c>
      <c r="H254" s="2" t="s">
        <v>366</v>
      </c>
      <c r="I254" s="356">
        <v>9986.5</v>
      </c>
      <c r="J254" s="342">
        <v>33.45</v>
      </c>
      <c r="K254" s="357">
        <f t="shared" si="10"/>
        <v>298.5500747384155</v>
      </c>
      <c r="L254" s="476">
        <v>60</v>
      </c>
      <c r="M254" s="343">
        <f t="shared" si="11"/>
        <v>166.44166666666666</v>
      </c>
      <c r="N254" s="344">
        <f ca="1" t="shared" si="9"/>
        <v>166</v>
      </c>
      <c r="O254" s="358">
        <v>1</v>
      </c>
      <c r="P254" s="340" t="s">
        <v>159</v>
      </c>
    </row>
    <row r="255" spans="2:16" ht="39.75" customHeight="1">
      <c r="B255" s="25">
        <v>39629</v>
      </c>
      <c r="C255" s="340" t="s">
        <v>503</v>
      </c>
      <c r="D255" s="2" t="s">
        <v>1627</v>
      </c>
      <c r="E255" s="26" t="s">
        <v>466</v>
      </c>
      <c r="F255" s="2" t="s">
        <v>42</v>
      </c>
      <c r="G255" s="2" t="s">
        <v>821</v>
      </c>
      <c r="H255" s="2" t="s">
        <v>310</v>
      </c>
      <c r="I255" s="356">
        <v>16250</v>
      </c>
      <c r="J255" s="342">
        <v>34.24</v>
      </c>
      <c r="K255" s="357">
        <f t="shared" si="10"/>
        <v>474.59112149532706</v>
      </c>
      <c r="L255" s="476">
        <v>60</v>
      </c>
      <c r="M255" s="343">
        <f t="shared" si="11"/>
        <v>270.8333333333333</v>
      </c>
      <c r="N255" s="344">
        <f ca="1" t="shared" si="9"/>
        <v>165</v>
      </c>
      <c r="O255" s="358">
        <v>1</v>
      </c>
      <c r="P255" s="340" t="s">
        <v>464</v>
      </c>
    </row>
    <row r="256" spans="2:16" ht="39.75" customHeight="1">
      <c r="B256" s="25">
        <v>39633</v>
      </c>
      <c r="C256" s="340" t="s">
        <v>38</v>
      </c>
      <c r="D256" s="2" t="s">
        <v>1439</v>
      </c>
      <c r="E256" s="26" t="s">
        <v>37</v>
      </c>
      <c r="F256" s="2" t="s">
        <v>42</v>
      </c>
      <c r="G256" s="2" t="s">
        <v>1861</v>
      </c>
      <c r="H256" s="2" t="s">
        <v>19</v>
      </c>
      <c r="I256" s="356">
        <v>6600</v>
      </c>
      <c r="J256" s="342">
        <v>34.19</v>
      </c>
      <c r="K256" s="357">
        <f t="shared" si="10"/>
        <v>193.03890026323486</v>
      </c>
      <c r="L256" s="476">
        <v>60</v>
      </c>
      <c r="M256" s="343">
        <f t="shared" si="11"/>
        <v>110</v>
      </c>
      <c r="N256" s="344">
        <f ca="1" t="shared" si="9"/>
        <v>164</v>
      </c>
      <c r="O256" s="358">
        <v>1</v>
      </c>
      <c r="P256" s="340" t="s">
        <v>476</v>
      </c>
    </row>
    <row r="257" spans="2:16" ht="39.75" customHeight="1">
      <c r="B257" s="25">
        <v>39633</v>
      </c>
      <c r="C257" s="340" t="s">
        <v>38</v>
      </c>
      <c r="D257" s="2" t="s">
        <v>1440</v>
      </c>
      <c r="E257" s="26" t="s">
        <v>36</v>
      </c>
      <c r="F257" s="2" t="s">
        <v>42</v>
      </c>
      <c r="G257" s="2" t="s">
        <v>1861</v>
      </c>
      <c r="H257" s="2" t="s">
        <v>19</v>
      </c>
      <c r="I257" s="356">
        <v>1300</v>
      </c>
      <c r="J257" s="342">
        <v>34.19</v>
      </c>
      <c r="K257" s="357">
        <f t="shared" si="10"/>
        <v>38.02281368821293</v>
      </c>
      <c r="L257" s="476">
        <v>60</v>
      </c>
      <c r="M257" s="343">
        <f t="shared" si="11"/>
        <v>21.666666666666668</v>
      </c>
      <c r="N257" s="344">
        <f ca="1" t="shared" si="9"/>
        <v>164</v>
      </c>
      <c r="O257" s="358">
        <v>1</v>
      </c>
      <c r="P257" s="340" t="s">
        <v>476</v>
      </c>
    </row>
    <row r="258" spans="2:16" ht="39.75" customHeight="1">
      <c r="B258" s="25">
        <v>39633</v>
      </c>
      <c r="C258" s="340" t="s">
        <v>38</v>
      </c>
      <c r="D258" s="2" t="s">
        <v>1441</v>
      </c>
      <c r="E258" s="26" t="s">
        <v>36</v>
      </c>
      <c r="F258" s="2" t="s">
        <v>42</v>
      </c>
      <c r="G258" s="2" t="s">
        <v>1861</v>
      </c>
      <c r="H258" s="2" t="s">
        <v>19</v>
      </c>
      <c r="I258" s="356">
        <v>1300</v>
      </c>
      <c r="J258" s="342">
        <v>34.19</v>
      </c>
      <c r="K258" s="357">
        <f t="shared" si="10"/>
        <v>38.02281368821293</v>
      </c>
      <c r="L258" s="476">
        <v>60</v>
      </c>
      <c r="M258" s="343">
        <f t="shared" si="11"/>
        <v>21.666666666666668</v>
      </c>
      <c r="N258" s="344">
        <f ca="1" t="shared" si="9"/>
        <v>164</v>
      </c>
      <c r="O258" s="358">
        <v>1</v>
      </c>
      <c r="P258" s="340" t="s">
        <v>476</v>
      </c>
    </row>
    <row r="259" spans="2:16" ht="39.75" customHeight="1">
      <c r="B259" s="25">
        <v>39633</v>
      </c>
      <c r="C259" s="340" t="s">
        <v>38</v>
      </c>
      <c r="D259" s="2" t="s">
        <v>1442</v>
      </c>
      <c r="E259" s="26" t="s">
        <v>36</v>
      </c>
      <c r="F259" s="2" t="s">
        <v>42</v>
      </c>
      <c r="G259" s="2" t="s">
        <v>1861</v>
      </c>
      <c r="H259" s="2" t="s">
        <v>19</v>
      </c>
      <c r="I259" s="356">
        <v>1300</v>
      </c>
      <c r="J259" s="342">
        <v>34.19</v>
      </c>
      <c r="K259" s="357">
        <f t="shared" si="10"/>
        <v>38.02281368821293</v>
      </c>
      <c r="L259" s="476">
        <v>60</v>
      </c>
      <c r="M259" s="343">
        <f t="shared" si="11"/>
        <v>21.666666666666668</v>
      </c>
      <c r="N259" s="344">
        <f ca="1" t="shared" si="9"/>
        <v>164</v>
      </c>
      <c r="O259" s="358">
        <v>1</v>
      </c>
      <c r="P259" s="340" t="s">
        <v>476</v>
      </c>
    </row>
    <row r="260" spans="2:16" ht="39.75" customHeight="1">
      <c r="B260" s="25">
        <v>39633</v>
      </c>
      <c r="C260" s="340" t="s">
        <v>38</v>
      </c>
      <c r="D260" s="2" t="s">
        <v>1445</v>
      </c>
      <c r="E260" s="26" t="s">
        <v>36</v>
      </c>
      <c r="F260" s="2" t="s">
        <v>42</v>
      </c>
      <c r="G260" s="2" t="s">
        <v>1862</v>
      </c>
      <c r="H260" s="2" t="s">
        <v>20</v>
      </c>
      <c r="I260" s="356">
        <v>1300</v>
      </c>
      <c r="J260" s="342">
        <v>34.19</v>
      </c>
      <c r="K260" s="357">
        <f t="shared" si="10"/>
        <v>38.02281368821293</v>
      </c>
      <c r="L260" s="476">
        <v>60</v>
      </c>
      <c r="M260" s="343">
        <f t="shared" si="11"/>
        <v>21.666666666666668</v>
      </c>
      <c r="N260" s="344">
        <f ca="1" t="shared" si="9"/>
        <v>164</v>
      </c>
      <c r="O260" s="358">
        <v>1</v>
      </c>
      <c r="P260" s="340" t="s">
        <v>476</v>
      </c>
    </row>
    <row r="261" spans="2:16" ht="39.75" customHeight="1">
      <c r="B261" s="25">
        <v>39633</v>
      </c>
      <c r="C261" s="340" t="s">
        <v>38</v>
      </c>
      <c r="D261" s="2" t="s">
        <v>1446</v>
      </c>
      <c r="E261" s="26" t="s">
        <v>36</v>
      </c>
      <c r="F261" s="2" t="s">
        <v>42</v>
      </c>
      <c r="G261" s="2" t="s">
        <v>1862</v>
      </c>
      <c r="H261" s="2" t="s">
        <v>20</v>
      </c>
      <c r="I261" s="356">
        <v>1300</v>
      </c>
      <c r="J261" s="342">
        <v>34.19</v>
      </c>
      <c r="K261" s="357">
        <f t="shared" si="10"/>
        <v>38.02281368821293</v>
      </c>
      <c r="L261" s="476">
        <v>60</v>
      </c>
      <c r="M261" s="343">
        <f t="shared" si="11"/>
        <v>21.666666666666668</v>
      </c>
      <c r="N261" s="344">
        <f ca="1" t="shared" si="9"/>
        <v>164</v>
      </c>
      <c r="O261" s="358">
        <v>1</v>
      </c>
      <c r="P261" s="340" t="s">
        <v>476</v>
      </c>
    </row>
    <row r="262" spans="2:16" ht="39.75" customHeight="1">
      <c r="B262" s="25">
        <v>39633</v>
      </c>
      <c r="C262" s="340" t="s">
        <v>38</v>
      </c>
      <c r="D262" s="2" t="s">
        <v>1447</v>
      </c>
      <c r="E262" s="26" t="s">
        <v>36</v>
      </c>
      <c r="F262" s="2" t="s">
        <v>42</v>
      </c>
      <c r="G262" s="2" t="s">
        <v>1862</v>
      </c>
      <c r="H262" s="2" t="s">
        <v>20</v>
      </c>
      <c r="I262" s="356">
        <v>1300</v>
      </c>
      <c r="J262" s="342">
        <v>34.19</v>
      </c>
      <c r="K262" s="357">
        <f t="shared" si="10"/>
        <v>38.02281368821293</v>
      </c>
      <c r="L262" s="476">
        <v>60</v>
      </c>
      <c r="M262" s="343">
        <f t="shared" si="11"/>
        <v>21.666666666666668</v>
      </c>
      <c r="N262" s="344">
        <f ca="1" t="shared" si="9"/>
        <v>164</v>
      </c>
      <c r="O262" s="358">
        <v>1</v>
      </c>
      <c r="P262" s="340" t="s">
        <v>476</v>
      </c>
    </row>
    <row r="263" spans="2:16" ht="39.75" customHeight="1">
      <c r="B263" s="25">
        <v>39633</v>
      </c>
      <c r="C263" s="340" t="s">
        <v>38</v>
      </c>
      <c r="D263" s="2" t="s">
        <v>1443</v>
      </c>
      <c r="E263" s="26" t="s">
        <v>74</v>
      </c>
      <c r="F263" s="2" t="s">
        <v>42</v>
      </c>
      <c r="G263" s="2" t="s">
        <v>3014</v>
      </c>
      <c r="H263" s="2" t="s">
        <v>3013</v>
      </c>
      <c r="I263" s="356">
        <v>3000</v>
      </c>
      <c r="J263" s="342">
        <v>34.19</v>
      </c>
      <c r="K263" s="357">
        <f t="shared" si="10"/>
        <v>87.74495466510676</v>
      </c>
      <c r="L263" s="476">
        <v>60</v>
      </c>
      <c r="M263" s="343">
        <f t="shared" si="11"/>
        <v>50</v>
      </c>
      <c r="N263" s="344">
        <f ca="1" t="shared" si="9"/>
        <v>164</v>
      </c>
      <c r="O263" s="358">
        <v>1</v>
      </c>
      <c r="P263" s="340" t="s">
        <v>476</v>
      </c>
    </row>
    <row r="264" spans="2:16" ht="39.75" customHeight="1">
      <c r="B264" s="25">
        <v>39633</v>
      </c>
      <c r="C264" s="340" t="s">
        <v>38</v>
      </c>
      <c r="D264" s="2" t="s">
        <v>1444</v>
      </c>
      <c r="E264" s="26" t="s">
        <v>73</v>
      </c>
      <c r="F264" s="2" t="s">
        <v>42</v>
      </c>
      <c r="G264" s="2" t="s">
        <v>3014</v>
      </c>
      <c r="H264" s="2" t="s">
        <v>3013</v>
      </c>
      <c r="I264" s="356">
        <v>3000</v>
      </c>
      <c r="J264" s="342">
        <v>34.19</v>
      </c>
      <c r="K264" s="357">
        <f t="shared" si="10"/>
        <v>87.74495466510676</v>
      </c>
      <c r="L264" s="476">
        <v>60</v>
      </c>
      <c r="M264" s="343">
        <f t="shared" si="11"/>
        <v>50</v>
      </c>
      <c r="N264" s="344">
        <f aca="true" ca="1" t="shared" si="12" ref="N264:N327">IF(B264&lt;&gt;0,(ROUND((NOW()-B264)/30,0)),0)</f>
        <v>164</v>
      </c>
      <c r="O264" s="358">
        <v>1</v>
      </c>
      <c r="P264" s="340" t="s">
        <v>476</v>
      </c>
    </row>
    <row r="265" spans="2:16" ht="39.75" customHeight="1">
      <c r="B265" s="25">
        <v>39633</v>
      </c>
      <c r="C265" s="340" t="s">
        <v>38</v>
      </c>
      <c r="D265" s="2" t="s">
        <v>1448</v>
      </c>
      <c r="E265" s="26" t="s">
        <v>72</v>
      </c>
      <c r="F265" s="2" t="s">
        <v>42</v>
      </c>
      <c r="G265" s="2" t="s">
        <v>3014</v>
      </c>
      <c r="H265" s="2" t="s">
        <v>3013</v>
      </c>
      <c r="I265" s="356">
        <v>15000</v>
      </c>
      <c r="J265" s="342">
        <v>34.19</v>
      </c>
      <c r="K265" s="357">
        <f aca="true" t="shared" si="13" ref="K265:K328">+I265/J265</f>
        <v>438.7247733255338</v>
      </c>
      <c r="L265" s="476">
        <v>60</v>
      </c>
      <c r="M265" s="343">
        <f aca="true" t="shared" si="14" ref="M265:M328">+I265/L345</f>
        <v>250</v>
      </c>
      <c r="N265" s="344">
        <f ca="1" t="shared" si="12"/>
        <v>164</v>
      </c>
      <c r="O265" s="358">
        <v>1</v>
      </c>
      <c r="P265" s="340" t="s">
        <v>476</v>
      </c>
    </row>
    <row r="266" spans="2:16" ht="39.75" customHeight="1">
      <c r="B266" s="25">
        <v>39639</v>
      </c>
      <c r="C266" s="340" t="s">
        <v>29</v>
      </c>
      <c r="D266" s="2" t="s">
        <v>1205</v>
      </c>
      <c r="E266" s="26" t="s">
        <v>381</v>
      </c>
      <c r="F266" s="2" t="s">
        <v>30</v>
      </c>
      <c r="G266" s="2" t="s">
        <v>1827</v>
      </c>
      <c r="H266" s="2" t="s">
        <v>158</v>
      </c>
      <c r="I266" s="356">
        <v>18092.97</v>
      </c>
      <c r="J266" s="342">
        <v>34.3</v>
      </c>
      <c r="K266" s="357">
        <f t="shared" si="13"/>
        <v>527.491836734694</v>
      </c>
      <c r="L266" s="476">
        <v>60</v>
      </c>
      <c r="M266" s="343">
        <f t="shared" si="14"/>
        <v>301.5495</v>
      </c>
      <c r="N266" s="344">
        <f ca="1" t="shared" si="12"/>
        <v>164</v>
      </c>
      <c r="O266" s="358">
        <v>1</v>
      </c>
      <c r="P266" s="340" t="s">
        <v>31</v>
      </c>
    </row>
    <row r="267" spans="2:16" ht="39.75" customHeight="1">
      <c r="B267" s="25">
        <v>39639</v>
      </c>
      <c r="C267" s="340" t="s">
        <v>29</v>
      </c>
      <c r="D267" s="2" t="s">
        <v>1206</v>
      </c>
      <c r="E267" s="26" t="s">
        <v>381</v>
      </c>
      <c r="F267" s="2" t="s">
        <v>30</v>
      </c>
      <c r="G267" s="2" t="s">
        <v>1827</v>
      </c>
      <c r="H267" s="2" t="s">
        <v>158</v>
      </c>
      <c r="I267" s="356">
        <v>18092.96</v>
      </c>
      <c r="J267" s="342">
        <v>34.3</v>
      </c>
      <c r="K267" s="357">
        <f t="shared" si="13"/>
        <v>527.4915451895043</v>
      </c>
      <c r="L267" s="476">
        <v>60</v>
      </c>
      <c r="M267" s="343">
        <f t="shared" si="14"/>
        <v>301.5493333333333</v>
      </c>
      <c r="N267" s="344">
        <f ca="1" t="shared" si="12"/>
        <v>164</v>
      </c>
      <c r="O267" s="358">
        <v>1</v>
      </c>
      <c r="P267" s="340" t="s">
        <v>31</v>
      </c>
    </row>
    <row r="268" spans="2:16" ht="39.75" customHeight="1">
      <c r="B268" s="25">
        <v>39672</v>
      </c>
      <c r="C268" s="340" t="s">
        <v>68</v>
      </c>
      <c r="D268" s="2" t="s">
        <v>1384</v>
      </c>
      <c r="E268" s="26" t="s">
        <v>346</v>
      </c>
      <c r="F268" s="2" t="s">
        <v>42</v>
      </c>
      <c r="G268" s="2" t="s">
        <v>1854</v>
      </c>
      <c r="H268" s="2" t="s">
        <v>13</v>
      </c>
      <c r="I268" s="356">
        <v>6000</v>
      </c>
      <c r="J268" s="342">
        <v>34.7</v>
      </c>
      <c r="K268" s="357">
        <f t="shared" si="13"/>
        <v>172.9106628242075</v>
      </c>
      <c r="L268" s="476">
        <v>60</v>
      </c>
      <c r="M268" s="343">
        <f t="shared" si="14"/>
        <v>100</v>
      </c>
      <c r="N268" s="344">
        <f ca="1" t="shared" si="12"/>
        <v>163</v>
      </c>
      <c r="O268" s="358">
        <v>1</v>
      </c>
      <c r="P268" s="340" t="s">
        <v>66</v>
      </c>
    </row>
    <row r="269" spans="2:16" ht="39.75" customHeight="1">
      <c r="B269" s="25">
        <v>39672</v>
      </c>
      <c r="C269" s="340" t="s">
        <v>68</v>
      </c>
      <c r="D269" s="2" t="s">
        <v>1385</v>
      </c>
      <c r="E269" s="26" t="s">
        <v>67</v>
      </c>
      <c r="F269" s="2" t="s">
        <v>42</v>
      </c>
      <c r="G269" s="2" t="s">
        <v>1854</v>
      </c>
      <c r="H269" s="2" t="s">
        <v>13</v>
      </c>
      <c r="I269" s="356">
        <v>2900</v>
      </c>
      <c r="J269" s="342">
        <v>34.7</v>
      </c>
      <c r="K269" s="357">
        <f t="shared" si="13"/>
        <v>83.57348703170028</v>
      </c>
      <c r="L269" s="476">
        <v>60</v>
      </c>
      <c r="M269" s="343">
        <f t="shared" si="14"/>
        <v>48.333333333333336</v>
      </c>
      <c r="N269" s="344">
        <f ca="1" t="shared" si="12"/>
        <v>163</v>
      </c>
      <c r="O269" s="358">
        <v>1</v>
      </c>
      <c r="P269" s="340" t="s">
        <v>66</v>
      </c>
    </row>
    <row r="270" spans="2:16" ht="39.75" customHeight="1">
      <c r="B270" s="25">
        <v>39672</v>
      </c>
      <c r="C270" s="340" t="s">
        <v>68</v>
      </c>
      <c r="D270" s="2" t="s">
        <v>1386</v>
      </c>
      <c r="E270" s="26" t="s">
        <v>71</v>
      </c>
      <c r="F270" s="2" t="s">
        <v>42</v>
      </c>
      <c r="G270" s="2" t="s">
        <v>1854</v>
      </c>
      <c r="H270" s="2" t="s">
        <v>13</v>
      </c>
      <c r="I270" s="356">
        <v>4300</v>
      </c>
      <c r="J270" s="342">
        <v>34.7</v>
      </c>
      <c r="K270" s="357">
        <f t="shared" si="13"/>
        <v>123.9193083573487</v>
      </c>
      <c r="L270" s="476">
        <v>60</v>
      </c>
      <c r="M270" s="343">
        <f t="shared" si="14"/>
        <v>71.66666666666667</v>
      </c>
      <c r="N270" s="344">
        <f ca="1" t="shared" si="12"/>
        <v>163</v>
      </c>
      <c r="O270" s="358">
        <v>1</v>
      </c>
      <c r="P270" s="340" t="s">
        <v>66</v>
      </c>
    </row>
    <row r="271" spans="2:16" ht="39.75" customHeight="1">
      <c r="B271" s="25">
        <v>39672</v>
      </c>
      <c r="C271" s="340" t="s">
        <v>68</v>
      </c>
      <c r="D271" s="2" t="s">
        <v>1387</v>
      </c>
      <c r="E271" s="26" t="s">
        <v>69</v>
      </c>
      <c r="F271" s="2" t="s">
        <v>42</v>
      </c>
      <c r="G271" s="2" t="s">
        <v>1854</v>
      </c>
      <c r="H271" s="2" t="s">
        <v>13</v>
      </c>
      <c r="I271" s="356">
        <v>4800</v>
      </c>
      <c r="J271" s="342">
        <v>34.7</v>
      </c>
      <c r="K271" s="357">
        <f t="shared" si="13"/>
        <v>138.32853025936598</v>
      </c>
      <c r="L271" s="476">
        <v>60</v>
      </c>
      <c r="M271" s="343">
        <f t="shared" si="14"/>
        <v>80</v>
      </c>
      <c r="N271" s="344">
        <f ca="1" t="shared" si="12"/>
        <v>163</v>
      </c>
      <c r="O271" s="358">
        <v>1</v>
      </c>
      <c r="P271" s="340" t="s">
        <v>66</v>
      </c>
    </row>
    <row r="272" spans="2:16" ht="39.75" customHeight="1">
      <c r="B272" s="25">
        <v>39672</v>
      </c>
      <c r="C272" s="340" t="s">
        <v>68</v>
      </c>
      <c r="D272" s="2" t="s">
        <v>1275</v>
      </c>
      <c r="E272" s="26" t="s">
        <v>346</v>
      </c>
      <c r="F272" s="2" t="s">
        <v>42</v>
      </c>
      <c r="G272" s="2" t="s">
        <v>1852</v>
      </c>
      <c r="H272" s="2" t="s">
        <v>312</v>
      </c>
      <c r="I272" s="201">
        <v>6000</v>
      </c>
      <c r="J272" s="342">
        <v>34.7</v>
      </c>
      <c r="K272" s="357">
        <f t="shared" si="13"/>
        <v>172.9106628242075</v>
      </c>
      <c r="L272" s="476">
        <v>60</v>
      </c>
      <c r="M272" s="343">
        <f t="shared" si="14"/>
        <v>100</v>
      </c>
      <c r="N272" s="344">
        <f ca="1" t="shared" si="12"/>
        <v>163</v>
      </c>
      <c r="O272" s="33">
        <v>1</v>
      </c>
      <c r="P272" s="340" t="s">
        <v>66</v>
      </c>
    </row>
    <row r="273" spans="2:16" ht="39.75" customHeight="1">
      <c r="B273" s="25">
        <v>39672</v>
      </c>
      <c r="C273" s="340" t="s">
        <v>68</v>
      </c>
      <c r="D273" s="2" t="s">
        <v>1276</v>
      </c>
      <c r="E273" s="26" t="s">
        <v>70</v>
      </c>
      <c r="F273" s="2" t="s">
        <v>42</v>
      </c>
      <c r="G273" s="2" t="s">
        <v>1852</v>
      </c>
      <c r="H273" s="2" t="s">
        <v>312</v>
      </c>
      <c r="I273" s="201">
        <v>4800</v>
      </c>
      <c r="J273" s="342">
        <v>34.7</v>
      </c>
      <c r="K273" s="357">
        <f t="shared" si="13"/>
        <v>138.32853025936598</v>
      </c>
      <c r="L273" s="476">
        <v>60</v>
      </c>
      <c r="M273" s="343">
        <f t="shared" si="14"/>
        <v>80</v>
      </c>
      <c r="N273" s="344">
        <f ca="1" t="shared" si="12"/>
        <v>163</v>
      </c>
      <c r="O273" s="33">
        <v>1</v>
      </c>
      <c r="P273" s="340" t="s">
        <v>66</v>
      </c>
    </row>
    <row r="274" spans="2:16" ht="39.75" customHeight="1">
      <c r="B274" s="25">
        <v>39673</v>
      </c>
      <c r="C274" s="340" t="s">
        <v>75</v>
      </c>
      <c r="D274" s="2" t="s">
        <v>1303</v>
      </c>
      <c r="E274" s="26" t="s">
        <v>67</v>
      </c>
      <c r="F274" s="2" t="s">
        <v>42</v>
      </c>
      <c r="G274" s="2" t="s">
        <v>826</v>
      </c>
      <c r="H274" s="2" t="s">
        <v>24</v>
      </c>
      <c r="I274" s="356">
        <v>468</v>
      </c>
      <c r="J274" s="342">
        <v>36.1</v>
      </c>
      <c r="K274" s="357">
        <f t="shared" si="13"/>
        <v>12.963988919667589</v>
      </c>
      <c r="L274" s="476">
        <v>60</v>
      </c>
      <c r="M274" s="343">
        <f t="shared" si="14"/>
        <v>7.8</v>
      </c>
      <c r="N274" s="344">
        <f ca="1" t="shared" si="12"/>
        <v>163</v>
      </c>
      <c r="O274" s="358">
        <v>1</v>
      </c>
      <c r="P274" s="340" t="s">
        <v>287</v>
      </c>
    </row>
    <row r="275" spans="2:16" ht="39.75" customHeight="1">
      <c r="B275" s="25">
        <v>39673</v>
      </c>
      <c r="C275" s="340" t="s">
        <v>75</v>
      </c>
      <c r="D275" s="2" t="s">
        <v>1304</v>
      </c>
      <c r="E275" s="26" t="s">
        <v>67</v>
      </c>
      <c r="F275" s="2" t="s">
        <v>42</v>
      </c>
      <c r="G275" s="2" t="s">
        <v>826</v>
      </c>
      <c r="H275" s="2" t="s">
        <v>24</v>
      </c>
      <c r="I275" s="356">
        <v>468</v>
      </c>
      <c r="J275" s="342">
        <v>36.1</v>
      </c>
      <c r="K275" s="357">
        <f t="shared" si="13"/>
        <v>12.963988919667589</v>
      </c>
      <c r="L275" s="476">
        <v>60</v>
      </c>
      <c r="M275" s="343">
        <f t="shared" si="14"/>
        <v>7.8</v>
      </c>
      <c r="N275" s="344">
        <f ca="1" t="shared" si="12"/>
        <v>163</v>
      </c>
      <c r="O275" s="358">
        <v>1</v>
      </c>
      <c r="P275" s="340" t="s">
        <v>287</v>
      </c>
    </row>
    <row r="276" spans="2:16" ht="39.75" customHeight="1">
      <c r="B276" s="25">
        <v>39673</v>
      </c>
      <c r="C276" s="340" t="s">
        <v>75</v>
      </c>
      <c r="D276" s="2" t="s">
        <v>1305</v>
      </c>
      <c r="E276" s="26" t="s">
        <v>67</v>
      </c>
      <c r="F276" s="2" t="s">
        <v>42</v>
      </c>
      <c r="G276" s="2" t="s">
        <v>826</v>
      </c>
      <c r="H276" s="2" t="s">
        <v>24</v>
      </c>
      <c r="I276" s="356">
        <v>468</v>
      </c>
      <c r="J276" s="342">
        <v>36.1</v>
      </c>
      <c r="K276" s="357">
        <f t="shared" si="13"/>
        <v>12.963988919667589</v>
      </c>
      <c r="L276" s="476">
        <v>60</v>
      </c>
      <c r="M276" s="343">
        <f t="shared" si="14"/>
        <v>7.8</v>
      </c>
      <c r="N276" s="344">
        <f ca="1" t="shared" si="12"/>
        <v>163</v>
      </c>
      <c r="O276" s="358">
        <v>1</v>
      </c>
      <c r="P276" s="340" t="s">
        <v>287</v>
      </c>
    </row>
    <row r="277" spans="2:16" ht="39.75" customHeight="1">
      <c r="B277" s="25">
        <v>39673</v>
      </c>
      <c r="C277" s="340" t="s">
        <v>75</v>
      </c>
      <c r="D277" s="2" t="s">
        <v>1306</v>
      </c>
      <c r="E277" s="26" t="s">
        <v>79</v>
      </c>
      <c r="F277" s="2" t="s">
        <v>42</v>
      </c>
      <c r="G277" s="2" t="s">
        <v>826</v>
      </c>
      <c r="H277" s="2" t="s">
        <v>24</v>
      </c>
      <c r="I277" s="356">
        <v>860</v>
      </c>
      <c r="J277" s="342">
        <v>36.1</v>
      </c>
      <c r="K277" s="357">
        <f t="shared" si="13"/>
        <v>23.82271468144044</v>
      </c>
      <c r="L277" s="476">
        <v>60</v>
      </c>
      <c r="M277" s="343">
        <f t="shared" si="14"/>
        <v>14.333333333333334</v>
      </c>
      <c r="N277" s="344">
        <f ca="1" t="shared" si="12"/>
        <v>163</v>
      </c>
      <c r="O277" s="358">
        <v>1</v>
      </c>
      <c r="P277" s="340" t="s">
        <v>287</v>
      </c>
    </row>
    <row r="278" spans="2:16" ht="39.75" customHeight="1">
      <c r="B278" s="25">
        <v>39673</v>
      </c>
      <c r="C278" s="340" t="s">
        <v>75</v>
      </c>
      <c r="D278" s="2" t="s">
        <v>1307</v>
      </c>
      <c r="E278" s="26" t="s">
        <v>79</v>
      </c>
      <c r="F278" s="2" t="s">
        <v>42</v>
      </c>
      <c r="G278" s="2" t="s">
        <v>826</v>
      </c>
      <c r="H278" s="2" t="s">
        <v>24</v>
      </c>
      <c r="I278" s="356">
        <v>860</v>
      </c>
      <c r="J278" s="342">
        <v>36.1</v>
      </c>
      <c r="K278" s="357">
        <f t="shared" si="13"/>
        <v>23.82271468144044</v>
      </c>
      <c r="L278" s="476">
        <v>60</v>
      </c>
      <c r="M278" s="343">
        <f t="shared" si="14"/>
        <v>14.333333333333334</v>
      </c>
      <c r="N278" s="344">
        <f ca="1" t="shared" si="12"/>
        <v>163</v>
      </c>
      <c r="O278" s="358">
        <v>1</v>
      </c>
      <c r="P278" s="340" t="s">
        <v>287</v>
      </c>
    </row>
    <row r="279" spans="2:16" ht="39.75" customHeight="1">
      <c r="B279" s="25">
        <v>39673</v>
      </c>
      <c r="C279" s="340" t="s">
        <v>75</v>
      </c>
      <c r="D279" s="2" t="s">
        <v>1308</v>
      </c>
      <c r="E279" s="26" t="s">
        <v>79</v>
      </c>
      <c r="F279" s="2" t="s">
        <v>42</v>
      </c>
      <c r="G279" s="2" t="s">
        <v>826</v>
      </c>
      <c r="H279" s="2" t="s">
        <v>24</v>
      </c>
      <c r="I279" s="356">
        <v>860</v>
      </c>
      <c r="J279" s="342">
        <v>36.1</v>
      </c>
      <c r="K279" s="357">
        <f t="shared" si="13"/>
        <v>23.82271468144044</v>
      </c>
      <c r="L279" s="476">
        <v>60</v>
      </c>
      <c r="M279" s="343">
        <f t="shared" si="14"/>
        <v>14.333333333333334</v>
      </c>
      <c r="N279" s="344">
        <f ca="1" t="shared" si="12"/>
        <v>163</v>
      </c>
      <c r="O279" s="358">
        <v>1</v>
      </c>
      <c r="P279" s="340" t="s">
        <v>287</v>
      </c>
    </row>
    <row r="280" spans="2:16" ht="39.75" customHeight="1">
      <c r="B280" s="25">
        <v>39673</v>
      </c>
      <c r="C280" s="340" t="s">
        <v>75</v>
      </c>
      <c r="D280" s="2" t="s">
        <v>1309</v>
      </c>
      <c r="E280" s="26" t="s">
        <v>254</v>
      </c>
      <c r="F280" s="2" t="s">
        <v>42</v>
      </c>
      <c r="G280" s="2" t="s">
        <v>826</v>
      </c>
      <c r="H280" s="2" t="s">
        <v>24</v>
      </c>
      <c r="I280" s="356">
        <v>450</v>
      </c>
      <c r="J280" s="342">
        <v>36.1</v>
      </c>
      <c r="K280" s="357">
        <f t="shared" si="13"/>
        <v>12.465373961218836</v>
      </c>
      <c r="L280" s="476">
        <v>60</v>
      </c>
      <c r="M280" s="343">
        <f t="shared" si="14"/>
        <v>7.5</v>
      </c>
      <c r="N280" s="344">
        <f ca="1" t="shared" si="12"/>
        <v>163</v>
      </c>
      <c r="O280" s="358">
        <v>1</v>
      </c>
      <c r="P280" s="340" t="s">
        <v>287</v>
      </c>
    </row>
    <row r="281" spans="2:16" ht="39.75" customHeight="1">
      <c r="B281" s="25">
        <v>39673</v>
      </c>
      <c r="C281" s="340" t="s">
        <v>75</v>
      </c>
      <c r="D281" s="2" t="s">
        <v>1310</v>
      </c>
      <c r="E281" s="26" t="s">
        <v>254</v>
      </c>
      <c r="F281" s="2" t="s">
        <v>42</v>
      </c>
      <c r="G281" s="2" t="s">
        <v>826</v>
      </c>
      <c r="H281" s="2" t="s">
        <v>24</v>
      </c>
      <c r="I281" s="356">
        <v>450</v>
      </c>
      <c r="J281" s="342">
        <v>36.1</v>
      </c>
      <c r="K281" s="357">
        <f t="shared" si="13"/>
        <v>12.465373961218836</v>
      </c>
      <c r="L281" s="476">
        <v>60</v>
      </c>
      <c r="M281" s="343">
        <f t="shared" si="14"/>
        <v>7.5</v>
      </c>
      <c r="N281" s="344">
        <f ca="1" t="shared" si="12"/>
        <v>163</v>
      </c>
      <c r="O281" s="358">
        <v>1</v>
      </c>
      <c r="P281" s="340" t="s">
        <v>287</v>
      </c>
    </row>
    <row r="282" spans="2:16" ht="39.75" customHeight="1">
      <c r="B282" s="25">
        <v>39673</v>
      </c>
      <c r="C282" s="340" t="s">
        <v>75</v>
      </c>
      <c r="D282" s="2" t="s">
        <v>1338</v>
      </c>
      <c r="E282" s="26" t="s">
        <v>260</v>
      </c>
      <c r="F282" s="2" t="s">
        <v>42</v>
      </c>
      <c r="G282" s="2" t="s">
        <v>826</v>
      </c>
      <c r="H282" s="2" t="s">
        <v>24</v>
      </c>
      <c r="I282" s="356">
        <v>3714</v>
      </c>
      <c r="J282" s="342">
        <v>36.1</v>
      </c>
      <c r="K282" s="357">
        <f t="shared" si="13"/>
        <v>102.8808864265928</v>
      </c>
      <c r="L282" s="476">
        <v>60</v>
      </c>
      <c r="M282" s="343">
        <f t="shared" si="14"/>
        <v>61.9</v>
      </c>
      <c r="N282" s="344">
        <f ca="1" t="shared" si="12"/>
        <v>163</v>
      </c>
      <c r="O282" s="358">
        <v>1</v>
      </c>
      <c r="P282" s="340" t="s">
        <v>287</v>
      </c>
    </row>
    <row r="283" spans="2:16" ht="39.75" customHeight="1">
      <c r="B283" s="25">
        <v>39673</v>
      </c>
      <c r="C283" s="340" t="s">
        <v>75</v>
      </c>
      <c r="D283" s="2" t="s">
        <v>1311</v>
      </c>
      <c r="E283" s="26" t="s">
        <v>253</v>
      </c>
      <c r="F283" s="2" t="s">
        <v>42</v>
      </c>
      <c r="G283" s="2" t="s">
        <v>826</v>
      </c>
      <c r="H283" s="2" t="s">
        <v>24</v>
      </c>
      <c r="I283" s="356">
        <v>360</v>
      </c>
      <c r="J283" s="342">
        <v>36.1</v>
      </c>
      <c r="K283" s="357">
        <f t="shared" si="13"/>
        <v>9.972299168975068</v>
      </c>
      <c r="L283" s="476">
        <v>60</v>
      </c>
      <c r="M283" s="343">
        <f t="shared" si="14"/>
        <v>6</v>
      </c>
      <c r="N283" s="344">
        <f ca="1" t="shared" si="12"/>
        <v>163</v>
      </c>
      <c r="O283" s="358">
        <v>1</v>
      </c>
      <c r="P283" s="340" t="s">
        <v>287</v>
      </c>
    </row>
    <row r="284" spans="2:16" ht="39.75" customHeight="1">
      <c r="B284" s="25">
        <v>39673</v>
      </c>
      <c r="C284" s="340" t="s">
        <v>75</v>
      </c>
      <c r="D284" s="2" t="s">
        <v>1312</v>
      </c>
      <c r="E284" s="26" t="s">
        <v>253</v>
      </c>
      <c r="F284" s="2" t="s">
        <v>42</v>
      </c>
      <c r="G284" s="2" t="s">
        <v>826</v>
      </c>
      <c r="H284" s="2" t="s">
        <v>24</v>
      </c>
      <c r="I284" s="356">
        <v>360</v>
      </c>
      <c r="J284" s="342">
        <v>36.1</v>
      </c>
      <c r="K284" s="357">
        <f t="shared" si="13"/>
        <v>9.972299168975068</v>
      </c>
      <c r="L284" s="476">
        <v>60</v>
      </c>
      <c r="M284" s="343">
        <f t="shared" si="14"/>
        <v>6</v>
      </c>
      <c r="N284" s="344">
        <f ca="1" t="shared" si="12"/>
        <v>163</v>
      </c>
      <c r="O284" s="358">
        <v>1</v>
      </c>
      <c r="P284" s="340" t="s">
        <v>287</v>
      </c>
    </row>
    <row r="285" spans="2:16" ht="39.75" customHeight="1">
      <c r="B285" s="25">
        <v>39673</v>
      </c>
      <c r="C285" s="340" t="s">
        <v>75</v>
      </c>
      <c r="D285" s="2" t="s">
        <v>1313</v>
      </c>
      <c r="E285" s="26" t="s">
        <v>76</v>
      </c>
      <c r="F285" s="2" t="s">
        <v>42</v>
      </c>
      <c r="G285" s="2" t="s">
        <v>826</v>
      </c>
      <c r="H285" s="2" t="s">
        <v>24</v>
      </c>
      <c r="I285" s="356">
        <v>661</v>
      </c>
      <c r="J285" s="342">
        <v>36.1</v>
      </c>
      <c r="K285" s="357">
        <f t="shared" si="13"/>
        <v>18.310249307479225</v>
      </c>
      <c r="L285" s="476">
        <v>60</v>
      </c>
      <c r="M285" s="343">
        <f t="shared" si="14"/>
        <v>11.016666666666667</v>
      </c>
      <c r="N285" s="344">
        <f ca="1" t="shared" si="12"/>
        <v>163</v>
      </c>
      <c r="O285" s="358">
        <v>1</v>
      </c>
      <c r="P285" s="340" t="s">
        <v>287</v>
      </c>
    </row>
    <row r="286" spans="2:16" ht="39.75" customHeight="1">
      <c r="B286" s="25">
        <v>39673</v>
      </c>
      <c r="C286" s="340" t="s">
        <v>75</v>
      </c>
      <c r="D286" s="2" t="s">
        <v>1314</v>
      </c>
      <c r="E286" s="26" t="s">
        <v>76</v>
      </c>
      <c r="F286" s="2" t="s">
        <v>42</v>
      </c>
      <c r="G286" s="2" t="s">
        <v>826</v>
      </c>
      <c r="H286" s="2" t="s">
        <v>24</v>
      </c>
      <c r="I286" s="356">
        <v>661</v>
      </c>
      <c r="J286" s="342">
        <v>36.1</v>
      </c>
      <c r="K286" s="357">
        <f t="shared" si="13"/>
        <v>18.310249307479225</v>
      </c>
      <c r="L286" s="476">
        <v>60</v>
      </c>
      <c r="M286" s="343">
        <f t="shared" si="14"/>
        <v>11.016666666666667</v>
      </c>
      <c r="N286" s="344">
        <f ca="1" t="shared" si="12"/>
        <v>163</v>
      </c>
      <c r="O286" s="358">
        <v>1</v>
      </c>
      <c r="P286" s="340" t="s">
        <v>287</v>
      </c>
    </row>
    <row r="287" spans="2:16" ht="39.75" customHeight="1">
      <c r="B287" s="25">
        <v>39673</v>
      </c>
      <c r="C287" s="340" t="s">
        <v>75</v>
      </c>
      <c r="D287" s="2" t="s">
        <v>1315</v>
      </c>
      <c r="E287" s="26" t="s">
        <v>76</v>
      </c>
      <c r="F287" s="2" t="s">
        <v>42</v>
      </c>
      <c r="G287" s="2" t="s">
        <v>826</v>
      </c>
      <c r="H287" s="2" t="s">
        <v>24</v>
      </c>
      <c r="I287" s="356">
        <v>661</v>
      </c>
      <c r="J287" s="342">
        <v>36.1</v>
      </c>
      <c r="K287" s="357">
        <f t="shared" si="13"/>
        <v>18.310249307479225</v>
      </c>
      <c r="L287" s="476">
        <v>60</v>
      </c>
      <c r="M287" s="343">
        <f t="shared" si="14"/>
        <v>11.016666666666667</v>
      </c>
      <c r="N287" s="344">
        <f ca="1" t="shared" si="12"/>
        <v>163</v>
      </c>
      <c r="O287" s="358">
        <v>1</v>
      </c>
      <c r="P287" s="340" t="s">
        <v>287</v>
      </c>
    </row>
    <row r="288" spans="2:16" ht="39.75" customHeight="1">
      <c r="B288" s="25">
        <v>39673</v>
      </c>
      <c r="C288" s="340" t="s">
        <v>75</v>
      </c>
      <c r="D288" s="2" t="s">
        <v>1316</v>
      </c>
      <c r="E288" s="26" t="s">
        <v>251</v>
      </c>
      <c r="F288" s="2" t="s">
        <v>42</v>
      </c>
      <c r="G288" s="2" t="s">
        <v>826</v>
      </c>
      <c r="H288" s="2" t="s">
        <v>24</v>
      </c>
      <c r="I288" s="356">
        <v>781.5</v>
      </c>
      <c r="J288" s="342">
        <v>36.1</v>
      </c>
      <c r="K288" s="357">
        <f t="shared" si="13"/>
        <v>21.64819944598338</v>
      </c>
      <c r="L288" s="476">
        <v>60</v>
      </c>
      <c r="M288" s="343">
        <f t="shared" si="14"/>
        <v>13.025</v>
      </c>
      <c r="N288" s="344">
        <f ca="1" t="shared" si="12"/>
        <v>163</v>
      </c>
      <c r="O288" s="358">
        <v>1</v>
      </c>
      <c r="P288" s="340" t="s">
        <v>287</v>
      </c>
    </row>
    <row r="289" spans="2:16" ht="39.75" customHeight="1">
      <c r="B289" s="25">
        <v>39673</v>
      </c>
      <c r="C289" s="340" t="s">
        <v>75</v>
      </c>
      <c r="D289" s="2" t="s">
        <v>1317</v>
      </c>
      <c r="E289" s="26" t="s">
        <v>251</v>
      </c>
      <c r="F289" s="2" t="s">
        <v>42</v>
      </c>
      <c r="G289" s="2" t="s">
        <v>826</v>
      </c>
      <c r="H289" s="2" t="s">
        <v>24</v>
      </c>
      <c r="I289" s="356">
        <v>781.5</v>
      </c>
      <c r="J289" s="342">
        <v>36.1</v>
      </c>
      <c r="K289" s="357">
        <f t="shared" si="13"/>
        <v>21.64819944598338</v>
      </c>
      <c r="L289" s="476">
        <v>60</v>
      </c>
      <c r="M289" s="343">
        <f t="shared" si="14"/>
        <v>13.025</v>
      </c>
      <c r="N289" s="344">
        <f ca="1" t="shared" si="12"/>
        <v>163</v>
      </c>
      <c r="O289" s="358">
        <v>1</v>
      </c>
      <c r="P289" s="340" t="s">
        <v>287</v>
      </c>
    </row>
    <row r="290" spans="2:16" ht="39.75" customHeight="1">
      <c r="B290" s="25">
        <v>39673</v>
      </c>
      <c r="C290" s="340" t="s">
        <v>75</v>
      </c>
      <c r="D290" s="2" t="s">
        <v>1318</v>
      </c>
      <c r="E290" s="26" t="s">
        <v>251</v>
      </c>
      <c r="F290" s="2" t="s">
        <v>42</v>
      </c>
      <c r="G290" s="2" t="s">
        <v>826</v>
      </c>
      <c r="H290" s="2" t="s">
        <v>24</v>
      </c>
      <c r="I290" s="356">
        <v>781.5</v>
      </c>
      <c r="J290" s="342">
        <v>36.1</v>
      </c>
      <c r="K290" s="357">
        <f t="shared" si="13"/>
        <v>21.64819944598338</v>
      </c>
      <c r="L290" s="476">
        <v>60</v>
      </c>
      <c r="M290" s="343">
        <f t="shared" si="14"/>
        <v>13.025</v>
      </c>
      <c r="N290" s="344">
        <f ca="1" t="shared" si="12"/>
        <v>163</v>
      </c>
      <c r="O290" s="358">
        <v>1</v>
      </c>
      <c r="P290" s="340" t="s">
        <v>287</v>
      </c>
    </row>
    <row r="291" spans="2:16" ht="39.75" customHeight="1">
      <c r="B291" s="25">
        <v>39673</v>
      </c>
      <c r="C291" s="340" t="s">
        <v>75</v>
      </c>
      <c r="D291" s="2" t="s">
        <v>1319</v>
      </c>
      <c r="E291" s="26" t="s">
        <v>252</v>
      </c>
      <c r="F291" s="2" t="s">
        <v>42</v>
      </c>
      <c r="G291" s="2" t="s">
        <v>826</v>
      </c>
      <c r="H291" s="2" t="s">
        <v>24</v>
      </c>
      <c r="I291" s="356">
        <v>526.3</v>
      </c>
      <c r="J291" s="342">
        <v>36.1</v>
      </c>
      <c r="K291" s="357">
        <f t="shared" si="13"/>
        <v>14.578947368421051</v>
      </c>
      <c r="L291" s="476">
        <v>60</v>
      </c>
      <c r="M291" s="343">
        <f t="shared" si="14"/>
        <v>8.771666666666667</v>
      </c>
      <c r="N291" s="344">
        <f ca="1" t="shared" si="12"/>
        <v>163</v>
      </c>
      <c r="O291" s="358">
        <v>1</v>
      </c>
      <c r="P291" s="340" t="s">
        <v>287</v>
      </c>
    </row>
    <row r="292" spans="2:16" ht="39.75" customHeight="1">
      <c r="B292" s="25">
        <v>39673</v>
      </c>
      <c r="C292" s="340" t="s">
        <v>75</v>
      </c>
      <c r="D292" s="2" t="s">
        <v>1320</v>
      </c>
      <c r="E292" s="26" t="s">
        <v>252</v>
      </c>
      <c r="F292" s="2" t="s">
        <v>42</v>
      </c>
      <c r="G292" s="2" t="s">
        <v>826</v>
      </c>
      <c r="H292" s="2" t="s">
        <v>24</v>
      </c>
      <c r="I292" s="356">
        <v>526.3</v>
      </c>
      <c r="J292" s="342">
        <v>36.1</v>
      </c>
      <c r="K292" s="357">
        <f t="shared" si="13"/>
        <v>14.578947368421051</v>
      </c>
      <c r="L292" s="476">
        <v>60</v>
      </c>
      <c r="M292" s="343">
        <f t="shared" si="14"/>
        <v>8.771666666666667</v>
      </c>
      <c r="N292" s="344">
        <f ca="1" t="shared" si="12"/>
        <v>163</v>
      </c>
      <c r="O292" s="358">
        <v>1</v>
      </c>
      <c r="P292" s="340" t="s">
        <v>287</v>
      </c>
    </row>
    <row r="293" spans="2:16" ht="39.75" customHeight="1">
      <c r="B293" s="25">
        <v>39673</v>
      </c>
      <c r="C293" s="340" t="s">
        <v>75</v>
      </c>
      <c r="D293" s="2" t="s">
        <v>1321</v>
      </c>
      <c r="E293" s="26" t="s">
        <v>77</v>
      </c>
      <c r="F293" s="2" t="s">
        <v>42</v>
      </c>
      <c r="G293" s="2" t="s">
        <v>826</v>
      </c>
      <c r="H293" s="2" t="s">
        <v>24</v>
      </c>
      <c r="I293" s="356">
        <v>270</v>
      </c>
      <c r="J293" s="342">
        <v>36.1</v>
      </c>
      <c r="K293" s="357">
        <f t="shared" si="13"/>
        <v>7.479224376731302</v>
      </c>
      <c r="L293" s="476">
        <v>60</v>
      </c>
      <c r="M293" s="343">
        <f t="shared" si="14"/>
        <v>4.5</v>
      </c>
      <c r="N293" s="344">
        <f ca="1" t="shared" si="12"/>
        <v>163</v>
      </c>
      <c r="O293" s="358">
        <v>1</v>
      </c>
      <c r="P293" s="340" t="s">
        <v>287</v>
      </c>
    </row>
    <row r="294" spans="2:16" ht="39.75" customHeight="1">
      <c r="B294" s="25">
        <v>39673</v>
      </c>
      <c r="C294" s="340" t="s">
        <v>75</v>
      </c>
      <c r="D294" s="2" t="s">
        <v>1322</v>
      </c>
      <c r="E294" s="26" t="s">
        <v>77</v>
      </c>
      <c r="F294" s="2" t="s">
        <v>42</v>
      </c>
      <c r="G294" s="2" t="s">
        <v>826</v>
      </c>
      <c r="H294" s="2" t="s">
        <v>24</v>
      </c>
      <c r="I294" s="356">
        <v>270</v>
      </c>
      <c r="J294" s="342">
        <v>36.1</v>
      </c>
      <c r="K294" s="357">
        <f t="shared" si="13"/>
        <v>7.479224376731302</v>
      </c>
      <c r="L294" s="476">
        <v>60</v>
      </c>
      <c r="M294" s="343">
        <f t="shared" si="14"/>
        <v>4.5</v>
      </c>
      <c r="N294" s="344">
        <f ca="1" t="shared" si="12"/>
        <v>163</v>
      </c>
      <c r="O294" s="358">
        <v>1</v>
      </c>
      <c r="P294" s="340" t="s">
        <v>287</v>
      </c>
    </row>
    <row r="295" spans="2:16" ht="39.75" customHeight="1">
      <c r="B295" s="25">
        <v>39673</v>
      </c>
      <c r="C295" s="340" t="s">
        <v>75</v>
      </c>
      <c r="D295" s="2" t="s">
        <v>1215</v>
      </c>
      <c r="E295" s="26" t="s">
        <v>77</v>
      </c>
      <c r="F295" s="2" t="s">
        <v>42</v>
      </c>
      <c r="G295" s="2" t="s">
        <v>826</v>
      </c>
      <c r="H295" s="2" t="s">
        <v>24</v>
      </c>
      <c r="I295" s="356">
        <v>270</v>
      </c>
      <c r="J295" s="342">
        <v>36.1</v>
      </c>
      <c r="K295" s="357">
        <f t="shared" si="13"/>
        <v>7.479224376731302</v>
      </c>
      <c r="L295" s="476">
        <v>60</v>
      </c>
      <c r="M295" s="343">
        <f t="shared" si="14"/>
        <v>4.5</v>
      </c>
      <c r="N295" s="344">
        <f ca="1" t="shared" si="12"/>
        <v>163</v>
      </c>
      <c r="O295" s="358">
        <v>1</v>
      </c>
      <c r="P295" s="340" t="s">
        <v>287</v>
      </c>
    </row>
    <row r="296" spans="2:16" ht="39.75" customHeight="1">
      <c r="B296" s="25">
        <v>39673</v>
      </c>
      <c r="C296" s="340" t="s">
        <v>75</v>
      </c>
      <c r="D296" s="2" t="s">
        <v>1323</v>
      </c>
      <c r="E296" s="26" t="s">
        <v>77</v>
      </c>
      <c r="F296" s="2" t="s">
        <v>42</v>
      </c>
      <c r="G296" s="2" t="s">
        <v>826</v>
      </c>
      <c r="H296" s="2" t="s">
        <v>24</v>
      </c>
      <c r="I296" s="356">
        <v>270</v>
      </c>
      <c r="J296" s="342">
        <v>36.1</v>
      </c>
      <c r="K296" s="357">
        <f t="shared" si="13"/>
        <v>7.479224376731302</v>
      </c>
      <c r="L296" s="476">
        <v>60</v>
      </c>
      <c r="M296" s="343">
        <f t="shared" si="14"/>
        <v>4.5</v>
      </c>
      <c r="N296" s="344">
        <f ca="1" t="shared" si="12"/>
        <v>163</v>
      </c>
      <c r="O296" s="358">
        <v>1</v>
      </c>
      <c r="P296" s="340" t="s">
        <v>287</v>
      </c>
    </row>
    <row r="297" spans="2:16" ht="39.75" customHeight="1">
      <c r="B297" s="25">
        <v>39673</v>
      </c>
      <c r="C297" s="340" t="s">
        <v>75</v>
      </c>
      <c r="D297" s="2" t="s">
        <v>1324</v>
      </c>
      <c r="E297" s="26" t="s">
        <v>77</v>
      </c>
      <c r="F297" s="2" t="s">
        <v>42</v>
      </c>
      <c r="G297" s="2" t="s">
        <v>826</v>
      </c>
      <c r="H297" s="2" t="s">
        <v>24</v>
      </c>
      <c r="I297" s="356">
        <v>270</v>
      </c>
      <c r="J297" s="342">
        <v>36.1</v>
      </c>
      <c r="K297" s="357">
        <f t="shared" si="13"/>
        <v>7.479224376731302</v>
      </c>
      <c r="L297" s="476">
        <v>60</v>
      </c>
      <c r="M297" s="343">
        <f t="shared" si="14"/>
        <v>4.5</v>
      </c>
      <c r="N297" s="344">
        <f ca="1" t="shared" si="12"/>
        <v>163</v>
      </c>
      <c r="O297" s="358">
        <v>1</v>
      </c>
      <c r="P297" s="340" t="s">
        <v>287</v>
      </c>
    </row>
    <row r="298" spans="2:16" ht="39.75" customHeight="1">
      <c r="B298" s="25">
        <v>39673</v>
      </c>
      <c r="C298" s="340" t="s">
        <v>75</v>
      </c>
      <c r="D298" s="2" t="s">
        <v>1325</v>
      </c>
      <c r="E298" s="26" t="s">
        <v>77</v>
      </c>
      <c r="F298" s="2" t="s">
        <v>42</v>
      </c>
      <c r="G298" s="2" t="s">
        <v>826</v>
      </c>
      <c r="H298" s="2" t="s">
        <v>24</v>
      </c>
      <c r="I298" s="356">
        <v>270</v>
      </c>
      <c r="J298" s="342">
        <v>36.1</v>
      </c>
      <c r="K298" s="357">
        <f t="shared" si="13"/>
        <v>7.479224376731302</v>
      </c>
      <c r="L298" s="476">
        <v>60</v>
      </c>
      <c r="M298" s="343">
        <f t="shared" si="14"/>
        <v>4.5</v>
      </c>
      <c r="N298" s="344">
        <f ca="1" t="shared" si="12"/>
        <v>163</v>
      </c>
      <c r="O298" s="358">
        <v>1</v>
      </c>
      <c r="P298" s="340" t="s">
        <v>287</v>
      </c>
    </row>
    <row r="299" spans="2:16" ht="39.75" customHeight="1">
      <c r="B299" s="25">
        <v>39673</v>
      </c>
      <c r="C299" s="340" t="s">
        <v>75</v>
      </c>
      <c r="D299" s="2" t="s">
        <v>1326</v>
      </c>
      <c r="E299" s="26" t="s">
        <v>78</v>
      </c>
      <c r="F299" s="2" t="s">
        <v>42</v>
      </c>
      <c r="G299" s="2" t="s">
        <v>826</v>
      </c>
      <c r="H299" s="2" t="s">
        <v>24</v>
      </c>
      <c r="I299" s="356">
        <v>350</v>
      </c>
      <c r="J299" s="342">
        <v>36.1</v>
      </c>
      <c r="K299" s="357">
        <f t="shared" si="13"/>
        <v>9.69529085872576</v>
      </c>
      <c r="L299" s="476">
        <v>60</v>
      </c>
      <c r="M299" s="343">
        <f t="shared" si="14"/>
        <v>5.833333333333333</v>
      </c>
      <c r="N299" s="344">
        <f ca="1" t="shared" si="12"/>
        <v>163</v>
      </c>
      <c r="O299" s="358">
        <v>1</v>
      </c>
      <c r="P299" s="340" t="s">
        <v>287</v>
      </c>
    </row>
    <row r="300" spans="2:16" ht="39.75" customHeight="1">
      <c r="B300" s="25">
        <v>39673</v>
      </c>
      <c r="C300" s="340" t="s">
        <v>75</v>
      </c>
      <c r="D300" s="2" t="s">
        <v>1327</v>
      </c>
      <c r="E300" s="26" t="s">
        <v>78</v>
      </c>
      <c r="F300" s="2" t="s">
        <v>42</v>
      </c>
      <c r="G300" s="2" t="s">
        <v>826</v>
      </c>
      <c r="H300" s="2" t="s">
        <v>24</v>
      </c>
      <c r="I300" s="356">
        <v>350</v>
      </c>
      <c r="J300" s="342">
        <v>36.1</v>
      </c>
      <c r="K300" s="357">
        <f t="shared" si="13"/>
        <v>9.69529085872576</v>
      </c>
      <c r="L300" s="476">
        <v>60</v>
      </c>
      <c r="M300" s="343">
        <f t="shared" si="14"/>
        <v>5.833333333333333</v>
      </c>
      <c r="N300" s="344">
        <f ca="1" t="shared" si="12"/>
        <v>163</v>
      </c>
      <c r="O300" s="358">
        <v>1</v>
      </c>
      <c r="P300" s="340" t="s">
        <v>287</v>
      </c>
    </row>
    <row r="301" spans="2:16" ht="39.75" customHeight="1">
      <c r="B301" s="25">
        <v>39673</v>
      </c>
      <c r="C301" s="340" t="s">
        <v>75</v>
      </c>
      <c r="D301" s="2" t="s">
        <v>1328</v>
      </c>
      <c r="E301" s="26" t="s">
        <v>78</v>
      </c>
      <c r="F301" s="2" t="s">
        <v>42</v>
      </c>
      <c r="G301" s="2" t="s">
        <v>826</v>
      </c>
      <c r="H301" s="2" t="s">
        <v>24</v>
      </c>
      <c r="I301" s="356">
        <v>350</v>
      </c>
      <c r="J301" s="342">
        <v>36.1</v>
      </c>
      <c r="K301" s="357">
        <f t="shared" si="13"/>
        <v>9.69529085872576</v>
      </c>
      <c r="L301" s="476">
        <v>60</v>
      </c>
      <c r="M301" s="343">
        <f t="shared" si="14"/>
        <v>5.833333333333333</v>
      </c>
      <c r="N301" s="344">
        <f ca="1" t="shared" si="12"/>
        <v>163</v>
      </c>
      <c r="O301" s="358">
        <v>1</v>
      </c>
      <c r="P301" s="340" t="s">
        <v>287</v>
      </c>
    </row>
    <row r="302" spans="2:16" ht="39.75" customHeight="1">
      <c r="B302" s="25">
        <v>39673</v>
      </c>
      <c r="C302" s="340" t="s">
        <v>75</v>
      </c>
      <c r="D302" s="2" t="s">
        <v>1329</v>
      </c>
      <c r="E302" s="26" t="s">
        <v>72</v>
      </c>
      <c r="F302" s="2" t="s">
        <v>42</v>
      </c>
      <c r="G302" s="2" t="s">
        <v>826</v>
      </c>
      <c r="H302" s="2" t="s">
        <v>24</v>
      </c>
      <c r="I302" s="356">
        <v>850</v>
      </c>
      <c r="J302" s="342">
        <v>36.1</v>
      </c>
      <c r="K302" s="357">
        <f t="shared" si="13"/>
        <v>23.545706371191134</v>
      </c>
      <c r="L302" s="476">
        <v>60</v>
      </c>
      <c r="M302" s="343">
        <f t="shared" si="14"/>
        <v>14.166666666666666</v>
      </c>
      <c r="N302" s="344">
        <f ca="1" t="shared" si="12"/>
        <v>163</v>
      </c>
      <c r="O302" s="358">
        <v>1</v>
      </c>
      <c r="P302" s="340" t="s">
        <v>287</v>
      </c>
    </row>
    <row r="303" spans="2:16" ht="39.75" customHeight="1">
      <c r="B303" s="25">
        <v>39673</v>
      </c>
      <c r="C303" s="340" t="s">
        <v>75</v>
      </c>
      <c r="D303" s="2" t="s">
        <v>1330</v>
      </c>
      <c r="E303" s="26" t="s">
        <v>72</v>
      </c>
      <c r="F303" s="2" t="s">
        <v>42</v>
      </c>
      <c r="G303" s="2" t="s">
        <v>826</v>
      </c>
      <c r="H303" s="2" t="s">
        <v>24</v>
      </c>
      <c r="I303" s="356">
        <v>850</v>
      </c>
      <c r="J303" s="342">
        <v>36.1</v>
      </c>
      <c r="K303" s="357">
        <f t="shared" si="13"/>
        <v>23.545706371191134</v>
      </c>
      <c r="L303" s="476">
        <v>60</v>
      </c>
      <c r="M303" s="343">
        <f t="shared" si="14"/>
        <v>14.166666666666666</v>
      </c>
      <c r="N303" s="344">
        <f ca="1" t="shared" si="12"/>
        <v>163</v>
      </c>
      <c r="O303" s="358">
        <v>1</v>
      </c>
      <c r="P303" s="340" t="s">
        <v>287</v>
      </c>
    </row>
    <row r="304" spans="2:16" ht="39.75" customHeight="1">
      <c r="B304" s="25">
        <v>39673</v>
      </c>
      <c r="C304" s="340" t="s">
        <v>75</v>
      </c>
      <c r="D304" s="2" t="s">
        <v>1339</v>
      </c>
      <c r="E304" s="26" t="s">
        <v>255</v>
      </c>
      <c r="F304" s="2" t="s">
        <v>42</v>
      </c>
      <c r="G304" s="2" t="s">
        <v>826</v>
      </c>
      <c r="H304" s="2" t="s">
        <v>24</v>
      </c>
      <c r="I304" s="356">
        <v>0</v>
      </c>
      <c r="J304" s="342">
        <v>36.1</v>
      </c>
      <c r="K304" s="357">
        <f t="shared" si="13"/>
        <v>0</v>
      </c>
      <c r="L304" s="476">
        <v>60</v>
      </c>
      <c r="M304" s="343">
        <f t="shared" si="14"/>
        <v>0</v>
      </c>
      <c r="N304" s="344">
        <f ca="1" t="shared" si="12"/>
        <v>163</v>
      </c>
      <c r="O304" s="358">
        <v>1</v>
      </c>
      <c r="P304" s="340" t="s">
        <v>287</v>
      </c>
    </row>
    <row r="305" spans="2:16" ht="39.75" customHeight="1">
      <c r="B305" s="25">
        <v>39673</v>
      </c>
      <c r="C305" s="340" t="s">
        <v>75</v>
      </c>
      <c r="D305" s="2" t="s">
        <v>1340</v>
      </c>
      <c r="E305" s="26" t="s">
        <v>255</v>
      </c>
      <c r="F305" s="2" t="s">
        <v>42</v>
      </c>
      <c r="G305" s="2" t="s">
        <v>826</v>
      </c>
      <c r="H305" s="2" t="s">
        <v>24</v>
      </c>
      <c r="I305" s="356">
        <v>0</v>
      </c>
      <c r="J305" s="342">
        <v>36.1</v>
      </c>
      <c r="K305" s="357">
        <f t="shared" si="13"/>
        <v>0</v>
      </c>
      <c r="L305" s="476">
        <v>60</v>
      </c>
      <c r="M305" s="343">
        <f t="shared" si="14"/>
        <v>0</v>
      </c>
      <c r="N305" s="344">
        <f ca="1" t="shared" si="12"/>
        <v>163</v>
      </c>
      <c r="O305" s="358">
        <v>1</v>
      </c>
      <c r="P305" s="340" t="s">
        <v>287</v>
      </c>
    </row>
    <row r="306" spans="2:16" ht="39.75" customHeight="1">
      <c r="B306" s="25">
        <v>39673</v>
      </c>
      <c r="C306" s="340" t="s">
        <v>75</v>
      </c>
      <c r="D306" s="2" t="s">
        <v>1331</v>
      </c>
      <c r="E306" s="26" t="s">
        <v>51</v>
      </c>
      <c r="F306" s="2" t="s">
        <v>42</v>
      </c>
      <c r="G306" s="2" t="s">
        <v>826</v>
      </c>
      <c r="H306" s="2" t="s">
        <v>24</v>
      </c>
      <c r="I306" s="356">
        <v>0</v>
      </c>
      <c r="J306" s="342">
        <v>36.1</v>
      </c>
      <c r="K306" s="357">
        <f t="shared" si="13"/>
        <v>0</v>
      </c>
      <c r="L306" s="476">
        <v>60</v>
      </c>
      <c r="M306" s="343">
        <f t="shared" si="14"/>
        <v>0</v>
      </c>
      <c r="N306" s="344">
        <f ca="1" t="shared" si="12"/>
        <v>163</v>
      </c>
      <c r="O306" s="358">
        <v>1</v>
      </c>
      <c r="P306" s="340" t="s">
        <v>287</v>
      </c>
    </row>
    <row r="307" spans="2:16" ht="39.75" customHeight="1">
      <c r="B307" s="25">
        <v>39673</v>
      </c>
      <c r="C307" s="340" t="s">
        <v>75</v>
      </c>
      <c r="D307" s="2" t="s">
        <v>1332</v>
      </c>
      <c r="E307" s="26" t="s">
        <v>51</v>
      </c>
      <c r="F307" s="2" t="s">
        <v>42</v>
      </c>
      <c r="G307" s="2" t="s">
        <v>826</v>
      </c>
      <c r="H307" s="2" t="s">
        <v>24</v>
      </c>
      <c r="I307" s="356">
        <v>0</v>
      </c>
      <c r="J307" s="342">
        <v>36.1</v>
      </c>
      <c r="K307" s="357">
        <f t="shared" si="13"/>
        <v>0</v>
      </c>
      <c r="L307" s="476">
        <v>60</v>
      </c>
      <c r="M307" s="343">
        <f t="shared" si="14"/>
        <v>0</v>
      </c>
      <c r="N307" s="344">
        <f ca="1" t="shared" si="12"/>
        <v>163</v>
      </c>
      <c r="O307" s="358">
        <v>1</v>
      </c>
      <c r="P307" s="340" t="s">
        <v>287</v>
      </c>
    </row>
    <row r="308" spans="2:16" ht="39.75" customHeight="1">
      <c r="B308" s="25">
        <v>39673</v>
      </c>
      <c r="C308" s="340" t="s">
        <v>75</v>
      </c>
      <c r="D308" s="2" t="s">
        <v>1333</v>
      </c>
      <c r="E308" s="26" t="s">
        <v>51</v>
      </c>
      <c r="F308" s="2" t="s">
        <v>42</v>
      </c>
      <c r="G308" s="2" t="s">
        <v>826</v>
      </c>
      <c r="H308" s="2" t="s">
        <v>24</v>
      </c>
      <c r="I308" s="356">
        <v>0</v>
      </c>
      <c r="J308" s="342">
        <v>36.1</v>
      </c>
      <c r="K308" s="357">
        <f t="shared" si="13"/>
        <v>0</v>
      </c>
      <c r="L308" s="476">
        <v>60</v>
      </c>
      <c r="M308" s="343">
        <f t="shared" si="14"/>
        <v>0</v>
      </c>
      <c r="N308" s="344">
        <f ca="1" t="shared" si="12"/>
        <v>163</v>
      </c>
      <c r="O308" s="358">
        <v>1</v>
      </c>
      <c r="P308" s="340" t="s">
        <v>287</v>
      </c>
    </row>
    <row r="309" spans="2:16" ht="39.75" customHeight="1">
      <c r="B309" s="25">
        <v>39673</v>
      </c>
      <c r="C309" s="340" t="s">
        <v>75</v>
      </c>
      <c r="D309" s="2" t="s">
        <v>1334</v>
      </c>
      <c r="E309" s="26" t="s">
        <v>262</v>
      </c>
      <c r="F309" s="2" t="s">
        <v>42</v>
      </c>
      <c r="G309" s="2" t="s">
        <v>826</v>
      </c>
      <c r="H309" s="2" t="s">
        <v>24</v>
      </c>
      <c r="I309" s="356">
        <v>0</v>
      </c>
      <c r="J309" s="342">
        <v>36.1</v>
      </c>
      <c r="K309" s="357">
        <f t="shared" si="13"/>
        <v>0</v>
      </c>
      <c r="L309" s="476">
        <v>60</v>
      </c>
      <c r="M309" s="343">
        <f t="shared" si="14"/>
        <v>0</v>
      </c>
      <c r="N309" s="344">
        <f ca="1" t="shared" si="12"/>
        <v>163</v>
      </c>
      <c r="O309" s="358">
        <v>1</v>
      </c>
      <c r="P309" s="340" t="s">
        <v>287</v>
      </c>
    </row>
    <row r="310" spans="2:16" ht="39.75" customHeight="1">
      <c r="B310" s="25">
        <v>39673</v>
      </c>
      <c r="C310" s="340" t="s">
        <v>75</v>
      </c>
      <c r="D310" s="2" t="s">
        <v>1335</v>
      </c>
      <c r="E310" s="26" t="s">
        <v>262</v>
      </c>
      <c r="F310" s="2" t="s">
        <v>42</v>
      </c>
      <c r="G310" s="2" t="s">
        <v>826</v>
      </c>
      <c r="H310" s="2" t="s">
        <v>24</v>
      </c>
      <c r="I310" s="356">
        <v>0</v>
      </c>
      <c r="J310" s="342">
        <v>36.1</v>
      </c>
      <c r="K310" s="357">
        <f t="shared" si="13"/>
        <v>0</v>
      </c>
      <c r="L310" s="476">
        <v>60</v>
      </c>
      <c r="M310" s="343">
        <f t="shared" si="14"/>
        <v>0</v>
      </c>
      <c r="N310" s="344">
        <f ca="1" t="shared" si="12"/>
        <v>163</v>
      </c>
      <c r="O310" s="358">
        <v>1</v>
      </c>
      <c r="P310" s="340" t="s">
        <v>287</v>
      </c>
    </row>
    <row r="311" spans="2:16" ht="39.75" customHeight="1">
      <c r="B311" s="25">
        <v>39673</v>
      </c>
      <c r="C311" s="340" t="s">
        <v>75</v>
      </c>
      <c r="D311" s="2" t="s">
        <v>1336</v>
      </c>
      <c r="E311" s="26" t="s">
        <v>262</v>
      </c>
      <c r="F311" s="2" t="s">
        <v>42</v>
      </c>
      <c r="G311" s="2" t="s">
        <v>826</v>
      </c>
      <c r="H311" s="2" t="s">
        <v>24</v>
      </c>
      <c r="I311" s="356">
        <v>0</v>
      </c>
      <c r="J311" s="342">
        <v>36.1</v>
      </c>
      <c r="K311" s="357">
        <f t="shared" si="13"/>
        <v>0</v>
      </c>
      <c r="L311" s="476">
        <v>60</v>
      </c>
      <c r="M311" s="343">
        <f t="shared" si="14"/>
        <v>0</v>
      </c>
      <c r="N311" s="344">
        <f ca="1" t="shared" si="12"/>
        <v>163</v>
      </c>
      <c r="O311" s="358">
        <v>1</v>
      </c>
      <c r="P311" s="340" t="s">
        <v>287</v>
      </c>
    </row>
    <row r="312" spans="2:16" ht="39.75" customHeight="1">
      <c r="B312" s="25">
        <v>39673</v>
      </c>
      <c r="C312" s="340" t="s">
        <v>75</v>
      </c>
      <c r="D312" s="2" t="s">
        <v>1341</v>
      </c>
      <c r="E312" s="26" t="s">
        <v>524</v>
      </c>
      <c r="F312" s="2" t="s">
        <v>42</v>
      </c>
      <c r="G312" s="2" t="s">
        <v>826</v>
      </c>
      <c r="H312" s="2" t="s">
        <v>24</v>
      </c>
      <c r="I312" s="356">
        <v>0</v>
      </c>
      <c r="J312" s="342">
        <v>36.1</v>
      </c>
      <c r="K312" s="357">
        <f t="shared" si="13"/>
        <v>0</v>
      </c>
      <c r="L312" s="476">
        <v>60</v>
      </c>
      <c r="M312" s="343">
        <f t="shared" si="14"/>
        <v>0</v>
      </c>
      <c r="N312" s="344">
        <f ca="1" t="shared" si="12"/>
        <v>163</v>
      </c>
      <c r="O312" s="358">
        <v>1</v>
      </c>
      <c r="P312" s="340" t="s">
        <v>287</v>
      </c>
    </row>
    <row r="313" spans="2:16" ht="39.75" customHeight="1">
      <c r="B313" s="25">
        <v>39673</v>
      </c>
      <c r="C313" s="340" t="s">
        <v>75</v>
      </c>
      <c r="D313" s="2" t="s">
        <v>1342</v>
      </c>
      <c r="E313" s="26" t="s">
        <v>524</v>
      </c>
      <c r="F313" s="2" t="s">
        <v>42</v>
      </c>
      <c r="G313" s="2" t="s">
        <v>826</v>
      </c>
      <c r="H313" s="2" t="s">
        <v>24</v>
      </c>
      <c r="I313" s="356">
        <v>0</v>
      </c>
      <c r="J313" s="342">
        <v>36.1</v>
      </c>
      <c r="K313" s="357">
        <f t="shared" si="13"/>
        <v>0</v>
      </c>
      <c r="L313" s="476">
        <v>60</v>
      </c>
      <c r="M313" s="343">
        <f t="shared" si="14"/>
        <v>0</v>
      </c>
      <c r="N313" s="344">
        <f ca="1" t="shared" si="12"/>
        <v>163</v>
      </c>
      <c r="O313" s="358">
        <v>1</v>
      </c>
      <c r="P313" s="340" t="s">
        <v>287</v>
      </c>
    </row>
    <row r="314" spans="2:16" ht="39.75" customHeight="1">
      <c r="B314" s="25">
        <v>39673</v>
      </c>
      <c r="C314" s="340" t="s">
        <v>75</v>
      </c>
      <c r="D314" s="2" t="s">
        <v>1343</v>
      </c>
      <c r="E314" s="26" t="s">
        <v>524</v>
      </c>
      <c r="F314" s="2" t="s">
        <v>42</v>
      </c>
      <c r="G314" s="2" t="s">
        <v>826</v>
      </c>
      <c r="H314" s="2" t="s">
        <v>24</v>
      </c>
      <c r="I314" s="356">
        <v>0</v>
      </c>
      <c r="J314" s="342">
        <v>36.1</v>
      </c>
      <c r="K314" s="357">
        <f t="shared" si="13"/>
        <v>0</v>
      </c>
      <c r="L314" s="476">
        <v>60</v>
      </c>
      <c r="M314" s="343">
        <f t="shared" si="14"/>
        <v>0</v>
      </c>
      <c r="N314" s="344">
        <f ca="1" t="shared" si="12"/>
        <v>163</v>
      </c>
      <c r="O314" s="358">
        <v>1</v>
      </c>
      <c r="P314" s="340" t="s">
        <v>287</v>
      </c>
    </row>
    <row r="315" spans="2:16" ht="39.75" customHeight="1">
      <c r="B315" s="25">
        <v>39673</v>
      </c>
      <c r="C315" s="340" t="s">
        <v>75</v>
      </c>
      <c r="D315" s="2" t="s">
        <v>1337</v>
      </c>
      <c r="E315" s="26" t="s">
        <v>261</v>
      </c>
      <c r="F315" s="2" t="s">
        <v>42</v>
      </c>
      <c r="G315" s="2" t="s">
        <v>826</v>
      </c>
      <c r="H315" s="2" t="s">
        <v>24</v>
      </c>
      <c r="I315" s="356">
        <v>0</v>
      </c>
      <c r="J315" s="342">
        <v>36.1</v>
      </c>
      <c r="K315" s="357">
        <f t="shared" si="13"/>
        <v>0</v>
      </c>
      <c r="L315" s="476">
        <v>60</v>
      </c>
      <c r="M315" s="343">
        <f t="shared" si="14"/>
        <v>0</v>
      </c>
      <c r="N315" s="344">
        <f ca="1" t="shared" si="12"/>
        <v>163</v>
      </c>
      <c r="O315" s="358">
        <v>1</v>
      </c>
      <c r="P315" s="340" t="s">
        <v>287</v>
      </c>
    </row>
    <row r="316" spans="2:16" ht="39.75" customHeight="1">
      <c r="B316" s="25">
        <v>39673</v>
      </c>
      <c r="C316" s="340" t="s">
        <v>75</v>
      </c>
      <c r="D316" s="2" t="s">
        <v>1344</v>
      </c>
      <c r="E316" s="26" t="s">
        <v>256</v>
      </c>
      <c r="F316" s="2" t="s">
        <v>42</v>
      </c>
      <c r="G316" s="2" t="s">
        <v>826</v>
      </c>
      <c r="H316" s="2" t="s">
        <v>24</v>
      </c>
      <c r="I316" s="356">
        <v>0</v>
      </c>
      <c r="J316" s="342">
        <v>36.1</v>
      </c>
      <c r="K316" s="357">
        <f t="shared" si="13"/>
        <v>0</v>
      </c>
      <c r="L316" s="476">
        <v>60</v>
      </c>
      <c r="M316" s="343">
        <f t="shared" si="14"/>
        <v>0</v>
      </c>
      <c r="N316" s="344">
        <f ca="1" t="shared" si="12"/>
        <v>163</v>
      </c>
      <c r="O316" s="358">
        <v>1</v>
      </c>
      <c r="P316" s="340" t="s">
        <v>287</v>
      </c>
    </row>
    <row r="317" spans="2:16" ht="39.75" customHeight="1">
      <c r="B317" s="25">
        <v>39673</v>
      </c>
      <c r="C317" s="340" t="s">
        <v>75</v>
      </c>
      <c r="D317" s="2" t="s">
        <v>1345</v>
      </c>
      <c r="E317" s="26" t="s">
        <v>256</v>
      </c>
      <c r="F317" s="2" t="s">
        <v>42</v>
      </c>
      <c r="G317" s="2" t="s">
        <v>826</v>
      </c>
      <c r="H317" s="2" t="s">
        <v>24</v>
      </c>
      <c r="I317" s="356">
        <v>0</v>
      </c>
      <c r="J317" s="342">
        <v>36.1</v>
      </c>
      <c r="K317" s="357">
        <f t="shared" si="13"/>
        <v>0</v>
      </c>
      <c r="L317" s="476">
        <v>60</v>
      </c>
      <c r="M317" s="343">
        <f t="shared" si="14"/>
        <v>0</v>
      </c>
      <c r="N317" s="344">
        <f ca="1" t="shared" si="12"/>
        <v>163</v>
      </c>
      <c r="O317" s="358">
        <v>1</v>
      </c>
      <c r="P317" s="340" t="s">
        <v>287</v>
      </c>
    </row>
    <row r="318" spans="2:16" ht="39.75" customHeight="1">
      <c r="B318" s="25">
        <v>39673</v>
      </c>
      <c r="C318" s="340" t="s">
        <v>75</v>
      </c>
      <c r="D318" s="2" t="s">
        <v>1346</v>
      </c>
      <c r="E318" s="26" t="s">
        <v>256</v>
      </c>
      <c r="F318" s="2" t="s">
        <v>42</v>
      </c>
      <c r="G318" s="2" t="s">
        <v>826</v>
      </c>
      <c r="H318" s="2" t="s">
        <v>24</v>
      </c>
      <c r="I318" s="356">
        <v>0</v>
      </c>
      <c r="J318" s="342">
        <v>36.1</v>
      </c>
      <c r="K318" s="357">
        <f t="shared" si="13"/>
        <v>0</v>
      </c>
      <c r="L318" s="476">
        <v>60</v>
      </c>
      <c r="M318" s="343">
        <f t="shared" si="14"/>
        <v>0</v>
      </c>
      <c r="N318" s="344">
        <f ca="1" t="shared" si="12"/>
        <v>163</v>
      </c>
      <c r="O318" s="358">
        <v>1</v>
      </c>
      <c r="P318" s="340" t="s">
        <v>287</v>
      </c>
    </row>
    <row r="319" spans="2:16" ht="39.75" customHeight="1">
      <c r="B319" s="25">
        <v>39673</v>
      </c>
      <c r="C319" s="340" t="s">
        <v>75</v>
      </c>
      <c r="D319" s="2" t="s">
        <v>1347</v>
      </c>
      <c r="E319" s="26" t="s">
        <v>259</v>
      </c>
      <c r="F319" s="2" t="s">
        <v>42</v>
      </c>
      <c r="G319" s="2" t="s">
        <v>826</v>
      </c>
      <c r="H319" s="2" t="s">
        <v>24</v>
      </c>
      <c r="I319" s="356">
        <v>0</v>
      </c>
      <c r="J319" s="342">
        <v>36.1</v>
      </c>
      <c r="K319" s="357">
        <f t="shared" si="13"/>
        <v>0</v>
      </c>
      <c r="L319" s="476">
        <v>60</v>
      </c>
      <c r="M319" s="343">
        <f t="shared" si="14"/>
        <v>0</v>
      </c>
      <c r="N319" s="344">
        <f ca="1" t="shared" si="12"/>
        <v>163</v>
      </c>
      <c r="O319" s="358">
        <v>1</v>
      </c>
      <c r="P319" s="340" t="s">
        <v>287</v>
      </c>
    </row>
    <row r="320" spans="2:16" ht="39.75" customHeight="1">
      <c r="B320" s="25">
        <v>39673</v>
      </c>
      <c r="C320" s="340" t="s">
        <v>75</v>
      </c>
      <c r="D320" s="2" t="s">
        <v>1348</v>
      </c>
      <c r="E320" s="26" t="s">
        <v>259</v>
      </c>
      <c r="F320" s="2" t="s">
        <v>42</v>
      </c>
      <c r="G320" s="2" t="s">
        <v>826</v>
      </c>
      <c r="H320" s="2" t="s">
        <v>24</v>
      </c>
      <c r="I320" s="356">
        <v>0</v>
      </c>
      <c r="J320" s="342">
        <v>36.1</v>
      </c>
      <c r="K320" s="357">
        <f t="shared" si="13"/>
        <v>0</v>
      </c>
      <c r="L320" s="476">
        <v>60</v>
      </c>
      <c r="M320" s="343">
        <f t="shared" si="14"/>
        <v>0</v>
      </c>
      <c r="N320" s="344">
        <f ca="1" t="shared" si="12"/>
        <v>163</v>
      </c>
      <c r="O320" s="358">
        <v>1</v>
      </c>
      <c r="P320" s="340" t="s">
        <v>287</v>
      </c>
    </row>
    <row r="321" spans="2:16" ht="39.75" customHeight="1">
      <c r="B321" s="25">
        <v>39673</v>
      </c>
      <c r="C321" s="340" t="s">
        <v>75</v>
      </c>
      <c r="D321" s="2" t="s">
        <v>1349</v>
      </c>
      <c r="E321" s="26" t="s">
        <v>259</v>
      </c>
      <c r="F321" s="2" t="s">
        <v>42</v>
      </c>
      <c r="G321" s="2" t="s">
        <v>826</v>
      </c>
      <c r="H321" s="2" t="s">
        <v>24</v>
      </c>
      <c r="I321" s="356">
        <v>0</v>
      </c>
      <c r="J321" s="342">
        <v>36.1</v>
      </c>
      <c r="K321" s="357">
        <f t="shared" si="13"/>
        <v>0</v>
      </c>
      <c r="L321" s="476">
        <v>60</v>
      </c>
      <c r="M321" s="343">
        <f t="shared" si="14"/>
        <v>0</v>
      </c>
      <c r="N321" s="344">
        <f ca="1" t="shared" si="12"/>
        <v>163</v>
      </c>
      <c r="O321" s="358">
        <v>1</v>
      </c>
      <c r="P321" s="340" t="s">
        <v>287</v>
      </c>
    </row>
    <row r="322" spans="2:16" ht="39.75" customHeight="1">
      <c r="B322" s="25">
        <v>39673</v>
      </c>
      <c r="C322" s="340" t="s">
        <v>75</v>
      </c>
      <c r="D322" s="2" t="s">
        <v>1350</v>
      </c>
      <c r="E322" s="26" t="s">
        <v>257</v>
      </c>
      <c r="F322" s="2" t="s">
        <v>42</v>
      </c>
      <c r="G322" s="2" t="s">
        <v>826</v>
      </c>
      <c r="H322" s="2" t="s">
        <v>24</v>
      </c>
      <c r="I322" s="356">
        <v>0</v>
      </c>
      <c r="J322" s="342">
        <v>36.1</v>
      </c>
      <c r="K322" s="357">
        <f t="shared" si="13"/>
        <v>0</v>
      </c>
      <c r="L322" s="476">
        <v>60</v>
      </c>
      <c r="M322" s="343">
        <f t="shared" si="14"/>
        <v>0</v>
      </c>
      <c r="N322" s="344">
        <f ca="1" t="shared" si="12"/>
        <v>163</v>
      </c>
      <c r="O322" s="358">
        <v>1</v>
      </c>
      <c r="P322" s="340" t="s">
        <v>287</v>
      </c>
    </row>
    <row r="323" spans="2:16" ht="39.75" customHeight="1">
      <c r="B323" s="25">
        <v>39673</v>
      </c>
      <c r="C323" s="340" t="s">
        <v>75</v>
      </c>
      <c r="D323" s="2" t="s">
        <v>1351</v>
      </c>
      <c r="E323" s="26" t="s">
        <v>258</v>
      </c>
      <c r="F323" s="2" t="s">
        <v>42</v>
      </c>
      <c r="G323" s="2" t="s">
        <v>826</v>
      </c>
      <c r="H323" s="2" t="s">
        <v>24</v>
      </c>
      <c r="I323" s="356">
        <v>0</v>
      </c>
      <c r="J323" s="342">
        <v>36.1</v>
      </c>
      <c r="K323" s="357">
        <f t="shared" si="13"/>
        <v>0</v>
      </c>
      <c r="L323" s="476">
        <v>60</v>
      </c>
      <c r="M323" s="343">
        <f t="shared" si="14"/>
        <v>0</v>
      </c>
      <c r="N323" s="344">
        <f ca="1" t="shared" si="12"/>
        <v>163</v>
      </c>
      <c r="O323" s="358">
        <v>1</v>
      </c>
      <c r="P323" s="340" t="s">
        <v>287</v>
      </c>
    </row>
    <row r="324" spans="2:16" ht="39.75" customHeight="1">
      <c r="B324" s="25">
        <v>39673</v>
      </c>
      <c r="C324" s="340" t="s">
        <v>75</v>
      </c>
      <c r="D324" s="2" t="s">
        <v>1352</v>
      </c>
      <c r="E324" s="26" t="s">
        <v>258</v>
      </c>
      <c r="F324" s="2" t="s">
        <v>42</v>
      </c>
      <c r="G324" s="2" t="s">
        <v>826</v>
      </c>
      <c r="H324" s="2" t="s">
        <v>24</v>
      </c>
      <c r="I324" s="356">
        <v>0</v>
      </c>
      <c r="J324" s="342">
        <v>36.1</v>
      </c>
      <c r="K324" s="357">
        <f t="shared" si="13"/>
        <v>0</v>
      </c>
      <c r="L324" s="476">
        <v>60</v>
      </c>
      <c r="M324" s="343">
        <f t="shared" si="14"/>
        <v>0</v>
      </c>
      <c r="N324" s="344">
        <f ca="1" t="shared" si="12"/>
        <v>163</v>
      </c>
      <c r="O324" s="358">
        <v>1</v>
      </c>
      <c r="P324" s="340" t="s">
        <v>287</v>
      </c>
    </row>
    <row r="325" spans="2:16" ht="39.75" customHeight="1">
      <c r="B325" s="25">
        <v>39779</v>
      </c>
      <c r="C325" s="376" t="s">
        <v>354</v>
      </c>
      <c r="D325" s="2" t="s">
        <v>1799</v>
      </c>
      <c r="E325" s="26" t="s">
        <v>519</v>
      </c>
      <c r="F325" s="2" t="s">
        <v>520</v>
      </c>
      <c r="G325" s="2" t="s">
        <v>821</v>
      </c>
      <c r="H325" s="2" t="s">
        <v>819</v>
      </c>
      <c r="I325" s="356">
        <v>626260</v>
      </c>
      <c r="J325" s="342">
        <v>34.2</v>
      </c>
      <c r="K325" s="357">
        <f t="shared" si="13"/>
        <v>18311.695906432746</v>
      </c>
      <c r="L325" s="476">
        <v>60</v>
      </c>
      <c r="M325" s="343">
        <f t="shared" si="14"/>
        <v>10437.666666666666</v>
      </c>
      <c r="N325" s="344">
        <f ca="1" t="shared" si="12"/>
        <v>160</v>
      </c>
      <c r="O325" s="358">
        <v>1</v>
      </c>
      <c r="P325" s="340" t="s">
        <v>461</v>
      </c>
    </row>
    <row r="326" spans="2:16" ht="39.75" customHeight="1">
      <c r="B326" s="25">
        <v>39780</v>
      </c>
      <c r="C326" s="340" t="s">
        <v>33</v>
      </c>
      <c r="D326" s="2" t="s">
        <v>1099</v>
      </c>
      <c r="E326" s="26" t="s">
        <v>34</v>
      </c>
      <c r="F326" s="2" t="s">
        <v>42</v>
      </c>
      <c r="G326" s="2" t="s">
        <v>1826</v>
      </c>
      <c r="H326" s="2" t="s">
        <v>135</v>
      </c>
      <c r="I326" s="201">
        <v>3800</v>
      </c>
      <c r="J326" s="342">
        <v>35.02</v>
      </c>
      <c r="K326" s="357">
        <f t="shared" si="13"/>
        <v>108.50942318675042</v>
      </c>
      <c r="L326" s="477">
        <v>60</v>
      </c>
      <c r="M326" s="343">
        <f t="shared" si="14"/>
        <v>63.333333333333336</v>
      </c>
      <c r="N326" s="344">
        <f ca="1" t="shared" si="12"/>
        <v>160</v>
      </c>
      <c r="O326" s="33">
        <v>1</v>
      </c>
      <c r="P326" s="340" t="s">
        <v>461</v>
      </c>
    </row>
    <row r="327" spans="2:16" ht="39.75" customHeight="1">
      <c r="B327" s="359">
        <v>39780</v>
      </c>
      <c r="C327" s="345" t="s">
        <v>407</v>
      </c>
      <c r="D327" s="2" t="s">
        <v>1213</v>
      </c>
      <c r="E327" s="360" t="s">
        <v>408</v>
      </c>
      <c r="F327" s="361" t="s">
        <v>42</v>
      </c>
      <c r="G327" s="361" t="s">
        <v>1842</v>
      </c>
      <c r="H327" s="361" t="s">
        <v>28</v>
      </c>
      <c r="I327" s="201">
        <v>2355.95</v>
      </c>
      <c r="J327" s="346">
        <v>35.77</v>
      </c>
      <c r="K327" s="357">
        <f t="shared" si="13"/>
        <v>65.86385239027116</v>
      </c>
      <c r="L327" s="477">
        <v>60</v>
      </c>
      <c r="M327" s="343">
        <f t="shared" si="14"/>
        <v>39.26583333333333</v>
      </c>
      <c r="N327" s="344">
        <f ca="1" t="shared" si="12"/>
        <v>160</v>
      </c>
      <c r="O327" s="33">
        <v>1</v>
      </c>
      <c r="P327" s="340" t="s">
        <v>521</v>
      </c>
    </row>
    <row r="328" spans="2:16" ht="39.75" customHeight="1">
      <c r="B328" s="359">
        <v>39780</v>
      </c>
      <c r="C328" s="345" t="s">
        <v>405</v>
      </c>
      <c r="D328" s="2" t="s">
        <v>1246</v>
      </c>
      <c r="E328" s="360" t="s">
        <v>406</v>
      </c>
      <c r="F328" s="361" t="s">
        <v>382</v>
      </c>
      <c r="G328" s="361" t="s">
        <v>1841</v>
      </c>
      <c r="H328" s="361" t="s">
        <v>28</v>
      </c>
      <c r="I328" s="201">
        <v>5390.87</v>
      </c>
      <c r="J328" s="346">
        <v>35.77</v>
      </c>
      <c r="K328" s="357">
        <f t="shared" si="13"/>
        <v>150.70925356443945</v>
      </c>
      <c r="L328" s="477">
        <v>60</v>
      </c>
      <c r="M328" s="343">
        <f t="shared" si="14"/>
        <v>89.84783333333333</v>
      </c>
      <c r="N328" s="344">
        <f aca="true" ca="1" t="shared" si="15" ref="N328:N391">IF(B328&lt;&gt;0,(ROUND((NOW()-B328)/30,0)),0)</f>
        <v>160</v>
      </c>
      <c r="O328" s="33">
        <v>1</v>
      </c>
      <c r="P328" s="345" t="s">
        <v>273</v>
      </c>
    </row>
    <row r="329" spans="2:16" ht="39.75" customHeight="1">
      <c r="B329" s="359">
        <v>39794</v>
      </c>
      <c r="C329" s="345" t="s">
        <v>52</v>
      </c>
      <c r="D329" s="2" t="s">
        <v>1214</v>
      </c>
      <c r="E329" s="360" t="s">
        <v>515</v>
      </c>
      <c r="F329" s="361" t="s">
        <v>516</v>
      </c>
      <c r="G329" s="361" t="s">
        <v>1845</v>
      </c>
      <c r="H329" s="361" t="s">
        <v>28</v>
      </c>
      <c r="I329" s="201">
        <v>8092.5</v>
      </c>
      <c r="J329" s="346">
        <v>35.32</v>
      </c>
      <c r="K329" s="357">
        <f aca="true" t="shared" si="16" ref="K329:K392">+I329/J329</f>
        <v>229.11947904869763</v>
      </c>
      <c r="L329" s="477">
        <v>60</v>
      </c>
      <c r="M329" s="343">
        <f aca="true" t="shared" si="17" ref="M329:M392">+I329/L409</f>
        <v>134.875</v>
      </c>
      <c r="N329" s="344">
        <f ca="1" t="shared" si="15"/>
        <v>159</v>
      </c>
      <c r="O329" s="33">
        <v>1</v>
      </c>
      <c r="P329" s="345" t="s">
        <v>53</v>
      </c>
    </row>
    <row r="330" spans="2:16" ht="39.75" customHeight="1">
      <c r="B330" s="25">
        <v>39861</v>
      </c>
      <c r="C330" s="340" t="s">
        <v>263</v>
      </c>
      <c r="D330" s="2" t="s">
        <v>1103</v>
      </c>
      <c r="E330" s="26" t="s">
        <v>384</v>
      </c>
      <c r="F330" s="2" t="s">
        <v>42</v>
      </c>
      <c r="G330" s="2" t="s">
        <v>821</v>
      </c>
      <c r="H330" s="2" t="s">
        <v>509</v>
      </c>
      <c r="I330" s="356">
        <v>3308</v>
      </c>
      <c r="J330" s="342">
        <v>35.65</v>
      </c>
      <c r="K330" s="357">
        <f t="shared" si="16"/>
        <v>92.79102384291726</v>
      </c>
      <c r="L330" s="476">
        <v>60</v>
      </c>
      <c r="M330" s="343">
        <f t="shared" si="17"/>
        <v>55.13333333333333</v>
      </c>
      <c r="N330" s="344">
        <f ca="1" t="shared" si="15"/>
        <v>157</v>
      </c>
      <c r="O330" s="358">
        <v>1</v>
      </c>
      <c r="P330" s="340" t="s">
        <v>159</v>
      </c>
    </row>
    <row r="331" spans="2:16" ht="39.75" customHeight="1">
      <c r="B331" s="25">
        <v>39861</v>
      </c>
      <c r="C331" s="340" t="s">
        <v>263</v>
      </c>
      <c r="D331" s="2" t="s">
        <v>1104</v>
      </c>
      <c r="E331" s="26" t="s">
        <v>384</v>
      </c>
      <c r="F331" s="2" t="s">
        <v>42</v>
      </c>
      <c r="G331" s="2" t="s">
        <v>821</v>
      </c>
      <c r="H331" s="2" t="s">
        <v>509</v>
      </c>
      <c r="I331" s="356">
        <v>3308</v>
      </c>
      <c r="J331" s="342">
        <v>35.65</v>
      </c>
      <c r="K331" s="357">
        <f t="shared" si="16"/>
        <v>92.79102384291726</v>
      </c>
      <c r="L331" s="476">
        <v>60</v>
      </c>
      <c r="M331" s="343">
        <f t="shared" si="17"/>
        <v>55.13333333333333</v>
      </c>
      <c r="N331" s="344">
        <f ca="1" t="shared" si="15"/>
        <v>157</v>
      </c>
      <c r="O331" s="358">
        <v>1</v>
      </c>
      <c r="P331" s="340" t="s">
        <v>159</v>
      </c>
    </row>
    <row r="332" spans="2:16" ht="39.75" customHeight="1">
      <c r="B332" s="25">
        <v>39861</v>
      </c>
      <c r="C332" s="340" t="s">
        <v>263</v>
      </c>
      <c r="D332" s="2" t="s">
        <v>1105</v>
      </c>
      <c r="E332" s="26" t="s">
        <v>384</v>
      </c>
      <c r="F332" s="2" t="s">
        <v>42</v>
      </c>
      <c r="G332" s="2" t="s">
        <v>821</v>
      </c>
      <c r="H332" s="2" t="s">
        <v>509</v>
      </c>
      <c r="I332" s="356">
        <v>3308</v>
      </c>
      <c r="J332" s="342">
        <v>35.65</v>
      </c>
      <c r="K332" s="357">
        <f t="shared" si="16"/>
        <v>92.79102384291726</v>
      </c>
      <c r="L332" s="476">
        <v>60</v>
      </c>
      <c r="M332" s="343">
        <f t="shared" si="17"/>
        <v>55.13333333333333</v>
      </c>
      <c r="N332" s="344">
        <f ca="1" t="shared" si="15"/>
        <v>157</v>
      </c>
      <c r="O332" s="358">
        <v>1</v>
      </c>
      <c r="P332" s="340" t="s">
        <v>159</v>
      </c>
    </row>
    <row r="333" spans="2:16" ht="39.75" customHeight="1">
      <c r="B333" s="25">
        <v>39861</v>
      </c>
      <c r="C333" s="340" t="s">
        <v>263</v>
      </c>
      <c r="D333" s="2" t="s">
        <v>1106</v>
      </c>
      <c r="E333" s="26" t="s">
        <v>384</v>
      </c>
      <c r="F333" s="2" t="s">
        <v>42</v>
      </c>
      <c r="G333" s="2" t="s">
        <v>821</v>
      </c>
      <c r="H333" s="2" t="s">
        <v>509</v>
      </c>
      <c r="I333" s="356">
        <v>3308</v>
      </c>
      <c r="J333" s="342">
        <v>35.65</v>
      </c>
      <c r="K333" s="357">
        <f t="shared" si="16"/>
        <v>92.79102384291726</v>
      </c>
      <c r="L333" s="476">
        <v>60</v>
      </c>
      <c r="M333" s="343">
        <f t="shared" si="17"/>
        <v>55.13333333333333</v>
      </c>
      <c r="N333" s="344">
        <f ca="1" t="shared" si="15"/>
        <v>157</v>
      </c>
      <c r="O333" s="358">
        <v>1</v>
      </c>
      <c r="P333" s="340" t="s">
        <v>159</v>
      </c>
    </row>
    <row r="334" spans="2:16" ht="39.75" customHeight="1">
      <c r="B334" s="25">
        <v>39861</v>
      </c>
      <c r="C334" s="340" t="s">
        <v>263</v>
      </c>
      <c r="D334" s="2" t="s">
        <v>1096</v>
      </c>
      <c r="E334" s="26" t="s">
        <v>384</v>
      </c>
      <c r="F334" s="2" t="s">
        <v>42</v>
      </c>
      <c r="G334" s="2" t="s">
        <v>821</v>
      </c>
      <c r="H334" s="2" t="s">
        <v>509</v>
      </c>
      <c r="I334" s="356">
        <v>3308</v>
      </c>
      <c r="J334" s="342">
        <v>35.65</v>
      </c>
      <c r="K334" s="357">
        <f t="shared" si="16"/>
        <v>92.79102384291726</v>
      </c>
      <c r="L334" s="476">
        <v>60</v>
      </c>
      <c r="M334" s="343">
        <f t="shared" si="17"/>
        <v>55.13333333333333</v>
      </c>
      <c r="N334" s="344">
        <f ca="1" t="shared" si="15"/>
        <v>157</v>
      </c>
      <c r="O334" s="358">
        <v>1</v>
      </c>
      <c r="P334" s="340" t="s">
        <v>159</v>
      </c>
    </row>
    <row r="335" spans="2:16" ht="39.75" customHeight="1">
      <c r="B335" s="25">
        <v>39861</v>
      </c>
      <c r="C335" s="340" t="s">
        <v>263</v>
      </c>
      <c r="D335" s="2" t="s">
        <v>1107</v>
      </c>
      <c r="E335" s="26" t="s">
        <v>384</v>
      </c>
      <c r="F335" s="2" t="s">
        <v>42</v>
      </c>
      <c r="G335" s="2" t="s">
        <v>821</v>
      </c>
      <c r="H335" s="2" t="s">
        <v>509</v>
      </c>
      <c r="I335" s="356">
        <v>3308</v>
      </c>
      <c r="J335" s="342">
        <v>35.65</v>
      </c>
      <c r="K335" s="357">
        <f t="shared" si="16"/>
        <v>92.79102384291726</v>
      </c>
      <c r="L335" s="476">
        <v>60</v>
      </c>
      <c r="M335" s="343">
        <f t="shared" si="17"/>
        <v>55.13333333333333</v>
      </c>
      <c r="N335" s="344">
        <f ca="1" t="shared" si="15"/>
        <v>157</v>
      </c>
      <c r="O335" s="358">
        <v>1</v>
      </c>
      <c r="P335" s="340" t="s">
        <v>159</v>
      </c>
    </row>
    <row r="336" spans="2:16" ht="39.75" customHeight="1">
      <c r="B336" s="25">
        <v>39862</v>
      </c>
      <c r="C336" s="340" t="s">
        <v>264</v>
      </c>
      <c r="D336" s="2" t="s">
        <v>1808</v>
      </c>
      <c r="E336" s="26" t="s">
        <v>265</v>
      </c>
      <c r="F336" s="2" t="s">
        <v>42</v>
      </c>
      <c r="G336" s="2" t="s">
        <v>821</v>
      </c>
      <c r="H336" s="2" t="s">
        <v>366</v>
      </c>
      <c r="I336" s="356">
        <v>10828.33</v>
      </c>
      <c r="J336" s="342">
        <v>35.65</v>
      </c>
      <c r="K336" s="357">
        <f t="shared" si="16"/>
        <v>303.73997194950914</v>
      </c>
      <c r="L336" s="476">
        <v>60</v>
      </c>
      <c r="M336" s="343">
        <f t="shared" si="17"/>
        <v>180.47216666666665</v>
      </c>
      <c r="N336" s="344">
        <f ca="1" t="shared" si="15"/>
        <v>157</v>
      </c>
      <c r="O336" s="358">
        <v>1</v>
      </c>
      <c r="P336" s="340" t="s">
        <v>266</v>
      </c>
    </row>
    <row r="337" spans="2:16" ht="39.75" customHeight="1">
      <c r="B337" s="25">
        <v>39862</v>
      </c>
      <c r="C337" s="340" t="s">
        <v>264</v>
      </c>
      <c r="D337" s="2" t="s">
        <v>1809</v>
      </c>
      <c r="E337" s="26" t="s">
        <v>265</v>
      </c>
      <c r="F337" s="2" t="s">
        <v>42</v>
      </c>
      <c r="G337" s="2" t="s">
        <v>821</v>
      </c>
      <c r="H337" s="2" t="s">
        <v>366</v>
      </c>
      <c r="I337" s="356">
        <v>10828.33</v>
      </c>
      <c r="J337" s="342">
        <v>35.65</v>
      </c>
      <c r="K337" s="357">
        <f t="shared" si="16"/>
        <v>303.73997194950914</v>
      </c>
      <c r="L337" s="476">
        <v>60</v>
      </c>
      <c r="M337" s="343">
        <f t="shared" si="17"/>
        <v>180.47216666666665</v>
      </c>
      <c r="N337" s="344">
        <f ca="1" t="shared" si="15"/>
        <v>157</v>
      </c>
      <c r="O337" s="358">
        <v>1</v>
      </c>
      <c r="P337" s="340" t="s">
        <v>266</v>
      </c>
    </row>
    <row r="338" spans="2:16" ht="39.75" customHeight="1">
      <c r="B338" s="25">
        <v>39862</v>
      </c>
      <c r="C338" s="340" t="s">
        <v>264</v>
      </c>
      <c r="D338" s="2" t="s">
        <v>1810</v>
      </c>
      <c r="E338" s="26" t="s">
        <v>265</v>
      </c>
      <c r="F338" s="2" t="s">
        <v>42</v>
      </c>
      <c r="G338" s="2" t="s">
        <v>821</v>
      </c>
      <c r="H338" s="2" t="s">
        <v>366</v>
      </c>
      <c r="I338" s="356">
        <v>10828.33</v>
      </c>
      <c r="J338" s="342">
        <v>35.65</v>
      </c>
      <c r="K338" s="357">
        <f t="shared" si="16"/>
        <v>303.73997194950914</v>
      </c>
      <c r="L338" s="476">
        <v>60</v>
      </c>
      <c r="M338" s="343">
        <f t="shared" si="17"/>
        <v>180.47216666666665</v>
      </c>
      <c r="N338" s="344">
        <f ca="1" t="shared" si="15"/>
        <v>157</v>
      </c>
      <c r="O338" s="358">
        <v>1</v>
      </c>
      <c r="P338" s="340" t="s">
        <v>266</v>
      </c>
    </row>
    <row r="339" spans="2:16" ht="39.75" customHeight="1">
      <c r="B339" s="25">
        <v>39862</v>
      </c>
      <c r="C339" s="340" t="s">
        <v>264</v>
      </c>
      <c r="D339" s="2" t="s">
        <v>1811</v>
      </c>
      <c r="E339" s="26" t="s">
        <v>485</v>
      </c>
      <c r="F339" s="2" t="s">
        <v>42</v>
      </c>
      <c r="G339" s="2" t="s">
        <v>821</v>
      </c>
      <c r="H339" s="2" t="s">
        <v>366</v>
      </c>
      <c r="I339" s="356">
        <v>15850</v>
      </c>
      <c r="J339" s="342">
        <v>35.65</v>
      </c>
      <c r="K339" s="357">
        <f t="shared" si="16"/>
        <v>444.6002805049089</v>
      </c>
      <c r="L339" s="476">
        <v>60</v>
      </c>
      <c r="M339" s="343">
        <f t="shared" si="17"/>
        <v>264.1666666666667</v>
      </c>
      <c r="N339" s="344">
        <f ca="1" t="shared" si="15"/>
        <v>157</v>
      </c>
      <c r="O339" s="358">
        <v>1</v>
      </c>
      <c r="P339" s="340" t="s">
        <v>266</v>
      </c>
    </row>
    <row r="340" spans="2:16" ht="39.75" customHeight="1">
      <c r="B340" s="25">
        <v>39862</v>
      </c>
      <c r="C340" s="340" t="s">
        <v>264</v>
      </c>
      <c r="D340" s="2" t="s">
        <v>1812</v>
      </c>
      <c r="E340" s="26" t="s">
        <v>485</v>
      </c>
      <c r="F340" s="2" t="s">
        <v>42</v>
      </c>
      <c r="G340" s="2" t="s">
        <v>821</v>
      </c>
      <c r="H340" s="2" t="s">
        <v>366</v>
      </c>
      <c r="I340" s="356">
        <v>15850</v>
      </c>
      <c r="J340" s="342">
        <v>35.65</v>
      </c>
      <c r="K340" s="357">
        <f t="shared" si="16"/>
        <v>444.6002805049089</v>
      </c>
      <c r="L340" s="476">
        <v>60</v>
      </c>
      <c r="M340" s="343">
        <f t="shared" si="17"/>
        <v>264.1666666666667</v>
      </c>
      <c r="N340" s="344">
        <f ca="1" t="shared" si="15"/>
        <v>157</v>
      </c>
      <c r="O340" s="358">
        <v>1</v>
      </c>
      <c r="P340" s="340" t="s">
        <v>266</v>
      </c>
    </row>
    <row r="341" spans="2:16" ht="39.75" customHeight="1">
      <c r="B341" s="359">
        <v>39877</v>
      </c>
      <c r="C341" s="345" t="s">
        <v>338</v>
      </c>
      <c r="D341" s="2" t="s">
        <v>1248</v>
      </c>
      <c r="E341" s="360" t="s">
        <v>0</v>
      </c>
      <c r="F341" s="361" t="s">
        <v>1</v>
      </c>
      <c r="G341" s="361" t="s">
        <v>824</v>
      </c>
      <c r="H341" s="361" t="s">
        <v>28</v>
      </c>
      <c r="I341" s="201">
        <v>28423.83</v>
      </c>
      <c r="J341" s="346">
        <v>35.77</v>
      </c>
      <c r="K341" s="357">
        <f t="shared" si="16"/>
        <v>794.6276209113782</v>
      </c>
      <c r="L341" s="477">
        <v>60</v>
      </c>
      <c r="M341" s="343">
        <f t="shared" si="17"/>
        <v>473.7305</v>
      </c>
      <c r="N341" s="344">
        <f ca="1" t="shared" si="15"/>
        <v>156</v>
      </c>
      <c r="O341" s="33">
        <v>1</v>
      </c>
      <c r="P341" s="345" t="s">
        <v>193</v>
      </c>
    </row>
    <row r="342" spans="2:16" ht="39.75" customHeight="1">
      <c r="B342" s="359">
        <v>39877</v>
      </c>
      <c r="C342" s="345" t="s">
        <v>338</v>
      </c>
      <c r="D342" s="2" t="s">
        <v>1247</v>
      </c>
      <c r="E342" s="360" t="s">
        <v>2</v>
      </c>
      <c r="F342" s="361" t="s">
        <v>3</v>
      </c>
      <c r="G342" s="361" t="s">
        <v>1845</v>
      </c>
      <c r="H342" s="361" t="s">
        <v>28</v>
      </c>
      <c r="I342" s="201">
        <v>39991.76</v>
      </c>
      <c r="J342" s="346">
        <v>35.77</v>
      </c>
      <c r="K342" s="357">
        <f t="shared" si="16"/>
        <v>1118.0251607492312</v>
      </c>
      <c r="L342" s="477">
        <v>60</v>
      </c>
      <c r="M342" s="343">
        <f t="shared" si="17"/>
        <v>666.5293333333334</v>
      </c>
      <c r="N342" s="344">
        <f ca="1" t="shared" si="15"/>
        <v>156</v>
      </c>
      <c r="O342" s="33">
        <v>1</v>
      </c>
      <c r="P342" s="345" t="s">
        <v>193</v>
      </c>
    </row>
    <row r="343" spans="2:16" ht="39.75" customHeight="1">
      <c r="B343" s="25">
        <v>39877</v>
      </c>
      <c r="C343" s="340" t="s">
        <v>331</v>
      </c>
      <c r="D343" s="2" t="s">
        <v>1108</v>
      </c>
      <c r="E343" s="26" t="s">
        <v>332</v>
      </c>
      <c r="F343" s="2" t="s">
        <v>42</v>
      </c>
      <c r="G343" s="2" t="s">
        <v>821</v>
      </c>
      <c r="H343" s="2" t="s">
        <v>509</v>
      </c>
      <c r="I343" s="356">
        <v>62198.63999999999</v>
      </c>
      <c r="J343" s="346">
        <v>35.77</v>
      </c>
      <c r="K343" s="357">
        <f t="shared" si="16"/>
        <v>1738.8493150684928</v>
      </c>
      <c r="L343" s="476">
        <v>60</v>
      </c>
      <c r="M343" s="343">
        <f t="shared" si="17"/>
        <v>1036.6439999999998</v>
      </c>
      <c r="N343" s="344">
        <f ca="1" t="shared" si="15"/>
        <v>156</v>
      </c>
      <c r="O343" s="358">
        <v>1</v>
      </c>
      <c r="P343" s="340" t="s">
        <v>333</v>
      </c>
    </row>
    <row r="344" spans="2:16" ht="39.75" customHeight="1">
      <c r="B344" s="25">
        <v>39902</v>
      </c>
      <c r="C344" s="340" t="s">
        <v>11</v>
      </c>
      <c r="D344" s="2" t="s">
        <v>1277</v>
      </c>
      <c r="E344" s="26" t="s">
        <v>12</v>
      </c>
      <c r="F344" s="2" t="s">
        <v>42</v>
      </c>
      <c r="G344" s="2" t="s">
        <v>1846</v>
      </c>
      <c r="H344" s="2" t="s">
        <v>415</v>
      </c>
      <c r="I344" s="356">
        <v>1125</v>
      </c>
      <c r="J344" s="346">
        <v>35.77</v>
      </c>
      <c r="K344" s="357">
        <f t="shared" si="16"/>
        <v>31.45093653899916</v>
      </c>
      <c r="L344" s="476">
        <v>60</v>
      </c>
      <c r="M344" s="343">
        <f t="shared" si="17"/>
        <v>18.75</v>
      </c>
      <c r="N344" s="344">
        <f ca="1" t="shared" si="15"/>
        <v>155</v>
      </c>
      <c r="O344" s="358">
        <v>1</v>
      </c>
      <c r="P344" s="340" t="s">
        <v>513</v>
      </c>
    </row>
    <row r="345" spans="2:16" ht="39.75" customHeight="1">
      <c r="B345" s="25">
        <v>39902</v>
      </c>
      <c r="C345" s="340" t="s">
        <v>11</v>
      </c>
      <c r="D345" s="2" t="s">
        <v>1278</v>
      </c>
      <c r="E345" s="26" t="s">
        <v>522</v>
      </c>
      <c r="F345" s="2" t="s">
        <v>42</v>
      </c>
      <c r="G345" s="2" t="s">
        <v>1846</v>
      </c>
      <c r="H345" s="2" t="s">
        <v>415</v>
      </c>
      <c r="I345" s="356">
        <v>26305</v>
      </c>
      <c r="J345" s="346">
        <v>35.77</v>
      </c>
      <c r="K345" s="357">
        <f t="shared" si="16"/>
        <v>735.392787251887</v>
      </c>
      <c r="L345" s="476">
        <v>60</v>
      </c>
      <c r="M345" s="343">
        <f t="shared" si="17"/>
        <v>438.4166666666667</v>
      </c>
      <c r="N345" s="344">
        <f ca="1" t="shared" si="15"/>
        <v>155</v>
      </c>
      <c r="O345" s="358">
        <v>1</v>
      </c>
      <c r="P345" s="340" t="s">
        <v>513</v>
      </c>
    </row>
    <row r="346" spans="2:16" ht="39.75" customHeight="1">
      <c r="B346" s="25">
        <v>39902</v>
      </c>
      <c r="C346" s="340" t="s">
        <v>523</v>
      </c>
      <c r="D346" s="2" t="s">
        <v>1281</v>
      </c>
      <c r="E346" s="26" t="s">
        <v>527</v>
      </c>
      <c r="F346" s="2" t="s">
        <v>42</v>
      </c>
      <c r="G346" s="2" t="s">
        <v>1846</v>
      </c>
      <c r="H346" s="2" t="s">
        <v>415</v>
      </c>
      <c r="I346" s="356">
        <v>3960</v>
      </c>
      <c r="J346" s="346">
        <v>35.77</v>
      </c>
      <c r="K346" s="357">
        <f t="shared" si="16"/>
        <v>110.70729661727704</v>
      </c>
      <c r="L346" s="476">
        <v>60</v>
      </c>
      <c r="M346" s="343">
        <f t="shared" si="17"/>
        <v>66</v>
      </c>
      <c r="N346" s="344">
        <f ca="1" t="shared" si="15"/>
        <v>155</v>
      </c>
      <c r="O346" s="358">
        <v>1</v>
      </c>
      <c r="P346" s="340" t="s">
        <v>525</v>
      </c>
    </row>
    <row r="347" spans="2:16" ht="39.75" customHeight="1">
      <c r="B347" s="25">
        <v>39902</v>
      </c>
      <c r="C347" s="340" t="s">
        <v>523</v>
      </c>
      <c r="D347" s="2" t="s">
        <v>1279</v>
      </c>
      <c r="E347" s="26" t="s">
        <v>524</v>
      </c>
      <c r="F347" s="2" t="s">
        <v>42</v>
      </c>
      <c r="G347" s="2" t="s">
        <v>1846</v>
      </c>
      <c r="H347" s="2" t="s">
        <v>415</v>
      </c>
      <c r="I347" s="356">
        <v>6860</v>
      </c>
      <c r="J347" s="346">
        <v>35.77</v>
      </c>
      <c r="K347" s="357">
        <f t="shared" si="16"/>
        <v>191.7808219178082</v>
      </c>
      <c r="L347" s="476">
        <v>60</v>
      </c>
      <c r="M347" s="343">
        <f t="shared" si="17"/>
        <v>114.33333333333333</v>
      </c>
      <c r="N347" s="344">
        <f ca="1" t="shared" si="15"/>
        <v>155</v>
      </c>
      <c r="O347" s="358">
        <v>1</v>
      </c>
      <c r="P347" s="340" t="s">
        <v>525</v>
      </c>
    </row>
    <row r="348" spans="2:16" ht="39.75" customHeight="1">
      <c r="B348" s="25">
        <v>39902</v>
      </c>
      <c r="C348" s="340" t="s">
        <v>523</v>
      </c>
      <c r="D348" s="2" t="s">
        <v>1282</v>
      </c>
      <c r="E348" s="26" t="s">
        <v>388</v>
      </c>
      <c r="F348" s="2" t="s">
        <v>42</v>
      </c>
      <c r="G348" s="2" t="s">
        <v>1846</v>
      </c>
      <c r="H348" s="2" t="s">
        <v>415</v>
      </c>
      <c r="I348" s="356">
        <v>6500</v>
      </c>
      <c r="J348" s="346">
        <v>35.77</v>
      </c>
      <c r="K348" s="357">
        <f t="shared" si="16"/>
        <v>181.71652222532848</v>
      </c>
      <c r="L348" s="476">
        <v>60</v>
      </c>
      <c r="M348" s="343">
        <f t="shared" si="17"/>
        <v>108.33333333333333</v>
      </c>
      <c r="N348" s="344">
        <f ca="1" t="shared" si="15"/>
        <v>155</v>
      </c>
      <c r="O348" s="358">
        <v>1</v>
      </c>
      <c r="P348" s="340" t="s">
        <v>525</v>
      </c>
    </row>
    <row r="349" spans="2:16" ht="39.75" customHeight="1">
      <c r="B349" s="25">
        <v>39902</v>
      </c>
      <c r="C349" s="340" t="s">
        <v>523</v>
      </c>
      <c r="D349" s="2" t="s">
        <v>1283</v>
      </c>
      <c r="E349" s="26" t="s">
        <v>121</v>
      </c>
      <c r="F349" s="2" t="s">
        <v>42</v>
      </c>
      <c r="G349" s="2" t="s">
        <v>1846</v>
      </c>
      <c r="H349" s="2" t="s">
        <v>415</v>
      </c>
      <c r="I349" s="356">
        <v>4850</v>
      </c>
      <c r="J349" s="346">
        <v>35.77</v>
      </c>
      <c r="K349" s="357">
        <f t="shared" si="16"/>
        <v>135.5884819681297</v>
      </c>
      <c r="L349" s="476">
        <v>60</v>
      </c>
      <c r="M349" s="343">
        <f t="shared" si="17"/>
        <v>80.83333333333333</v>
      </c>
      <c r="N349" s="344">
        <f ca="1" t="shared" si="15"/>
        <v>155</v>
      </c>
      <c r="O349" s="358">
        <v>1</v>
      </c>
      <c r="P349" s="340" t="s">
        <v>525</v>
      </c>
    </row>
    <row r="350" spans="2:16" ht="39.75" customHeight="1">
      <c r="B350" s="25">
        <v>39902</v>
      </c>
      <c r="C350" s="340" t="s">
        <v>523</v>
      </c>
      <c r="D350" s="2" t="s">
        <v>1284</v>
      </c>
      <c r="E350" s="26" t="s">
        <v>526</v>
      </c>
      <c r="F350" s="2" t="s">
        <v>42</v>
      </c>
      <c r="G350" s="2" t="s">
        <v>1846</v>
      </c>
      <c r="H350" s="2" t="s">
        <v>415</v>
      </c>
      <c r="I350" s="356">
        <v>7800</v>
      </c>
      <c r="J350" s="346">
        <v>35.77</v>
      </c>
      <c r="K350" s="357">
        <f t="shared" si="16"/>
        <v>218.05982667039416</v>
      </c>
      <c r="L350" s="476">
        <v>60</v>
      </c>
      <c r="M350" s="343">
        <f t="shared" si="17"/>
        <v>130</v>
      </c>
      <c r="N350" s="344">
        <f ca="1" t="shared" si="15"/>
        <v>155</v>
      </c>
      <c r="O350" s="358">
        <v>1</v>
      </c>
      <c r="P350" s="340" t="s">
        <v>525</v>
      </c>
    </row>
    <row r="351" spans="2:16" ht="39.75" customHeight="1">
      <c r="B351" s="25">
        <v>39902</v>
      </c>
      <c r="C351" s="340" t="s">
        <v>523</v>
      </c>
      <c r="D351" s="2" t="s">
        <v>1285</v>
      </c>
      <c r="E351" s="26" t="s">
        <v>529</v>
      </c>
      <c r="F351" s="2" t="s">
        <v>42</v>
      </c>
      <c r="G351" s="2" t="s">
        <v>1846</v>
      </c>
      <c r="H351" s="2" t="s">
        <v>415</v>
      </c>
      <c r="I351" s="356">
        <v>1125</v>
      </c>
      <c r="J351" s="346">
        <v>35.77</v>
      </c>
      <c r="K351" s="357">
        <f t="shared" si="16"/>
        <v>31.45093653899916</v>
      </c>
      <c r="L351" s="476">
        <v>60</v>
      </c>
      <c r="M351" s="343">
        <f t="shared" si="17"/>
        <v>18.75</v>
      </c>
      <c r="N351" s="344">
        <f ca="1" t="shared" si="15"/>
        <v>155</v>
      </c>
      <c r="O351" s="358">
        <v>1</v>
      </c>
      <c r="P351" s="340" t="s">
        <v>525</v>
      </c>
    </row>
    <row r="352" spans="2:16" ht="39.75" customHeight="1">
      <c r="B352" s="25">
        <v>39902</v>
      </c>
      <c r="C352" s="340" t="s">
        <v>523</v>
      </c>
      <c r="D352" s="2" t="s">
        <v>1286</v>
      </c>
      <c r="E352" s="26" t="s">
        <v>529</v>
      </c>
      <c r="F352" s="2" t="s">
        <v>42</v>
      </c>
      <c r="G352" s="2" t="s">
        <v>1846</v>
      </c>
      <c r="H352" s="2" t="s">
        <v>415</v>
      </c>
      <c r="I352" s="356">
        <v>1125</v>
      </c>
      <c r="J352" s="346">
        <v>35.77</v>
      </c>
      <c r="K352" s="357">
        <f t="shared" si="16"/>
        <v>31.45093653899916</v>
      </c>
      <c r="L352" s="476">
        <v>60</v>
      </c>
      <c r="M352" s="343">
        <f t="shared" si="17"/>
        <v>18.75</v>
      </c>
      <c r="N352" s="344">
        <f ca="1" t="shared" si="15"/>
        <v>155</v>
      </c>
      <c r="O352" s="358">
        <v>1</v>
      </c>
      <c r="P352" s="340" t="s">
        <v>525</v>
      </c>
    </row>
    <row r="353" spans="2:16" ht="39.75" customHeight="1">
      <c r="B353" s="25">
        <v>39902</v>
      </c>
      <c r="C353" s="340" t="s">
        <v>523</v>
      </c>
      <c r="D353" s="2" t="s">
        <v>1287</v>
      </c>
      <c r="E353" s="26" t="s">
        <v>529</v>
      </c>
      <c r="F353" s="2" t="s">
        <v>42</v>
      </c>
      <c r="G353" s="2" t="s">
        <v>1846</v>
      </c>
      <c r="H353" s="2" t="s">
        <v>415</v>
      </c>
      <c r="I353" s="356">
        <v>1125</v>
      </c>
      <c r="J353" s="346">
        <v>35.77</v>
      </c>
      <c r="K353" s="357">
        <f t="shared" si="16"/>
        <v>31.45093653899916</v>
      </c>
      <c r="L353" s="476">
        <v>60</v>
      </c>
      <c r="M353" s="343">
        <f t="shared" si="17"/>
        <v>18.75</v>
      </c>
      <c r="N353" s="344">
        <f ca="1" t="shared" si="15"/>
        <v>155</v>
      </c>
      <c r="O353" s="358">
        <v>1</v>
      </c>
      <c r="P353" s="340" t="s">
        <v>525</v>
      </c>
    </row>
    <row r="354" spans="2:16" ht="39.75" customHeight="1">
      <c r="B354" s="25">
        <v>39902</v>
      </c>
      <c r="C354" s="340" t="s">
        <v>523</v>
      </c>
      <c r="D354" s="2" t="s">
        <v>1288</v>
      </c>
      <c r="E354" s="26" t="s">
        <v>529</v>
      </c>
      <c r="F354" s="2" t="s">
        <v>42</v>
      </c>
      <c r="G354" s="2" t="s">
        <v>1846</v>
      </c>
      <c r="H354" s="2" t="s">
        <v>415</v>
      </c>
      <c r="I354" s="356">
        <v>1125</v>
      </c>
      <c r="J354" s="346">
        <v>35.77</v>
      </c>
      <c r="K354" s="357">
        <f t="shared" si="16"/>
        <v>31.45093653899916</v>
      </c>
      <c r="L354" s="476">
        <v>60</v>
      </c>
      <c r="M354" s="343">
        <f t="shared" si="17"/>
        <v>18.75</v>
      </c>
      <c r="N354" s="344">
        <f ca="1" t="shared" si="15"/>
        <v>155</v>
      </c>
      <c r="O354" s="358">
        <v>1</v>
      </c>
      <c r="P354" s="340" t="s">
        <v>525</v>
      </c>
    </row>
    <row r="355" spans="2:16" ht="39.75" customHeight="1">
      <c r="B355" s="25">
        <v>39902</v>
      </c>
      <c r="C355" s="340" t="s">
        <v>523</v>
      </c>
      <c r="D355" s="2" t="s">
        <v>1289</v>
      </c>
      <c r="E355" s="26" t="s">
        <v>529</v>
      </c>
      <c r="F355" s="2" t="s">
        <v>42</v>
      </c>
      <c r="G355" s="2" t="s">
        <v>1846</v>
      </c>
      <c r="H355" s="2" t="s">
        <v>415</v>
      </c>
      <c r="I355" s="356">
        <v>1125</v>
      </c>
      <c r="J355" s="346">
        <v>35.77</v>
      </c>
      <c r="K355" s="357">
        <f t="shared" si="16"/>
        <v>31.45093653899916</v>
      </c>
      <c r="L355" s="476">
        <v>60</v>
      </c>
      <c r="M355" s="343">
        <f t="shared" si="17"/>
        <v>18.75</v>
      </c>
      <c r="N355" s="344">
        <f ca="1" t="shared" si="15"/>
        <v>155</v>
      </c>
      <c r="O355" s="358">
        <v>1</v>
      </c>
      <c r="P355" s="340" t="s">
        <v>525</v>
      </c>
    </row>
    <row r="356" spans="2:16" ht="39.75" customHeight="1">
      <c r="B356" s="25">
        <v>39902</v>
      </c>
      <c r="C356" s="340" t="s">
        <v>523</v>
      </c>
      <c r="D356" s="2" t="s">
        <v>1290</v>
      </c>
      <c r="E356" s="26" t="s">
        <v>529</v>
      </c>
      <c r="F356" s="2" t="s">
        <v>42</v>
      </c>
      <c r="G356" s="2" t="s">
        <v>1846</v>
      </c>
      <c r="H356" s="2" t="s">
        <v>415</v>
      </c>
      <c r="I356" s="356">
        <v>1125</v>
      </c>
      <c r="J356" s="346">
        <v>35.77</v>
      </c>
      <c r="K356" s="357">
        <f t="shared" si="16"/>
        <v>31.45093653899916</v>
      </c>
      <c r="L356" s="476">
        <v>60</v>
      </c>
      <c r="M356" s="343">
        <f t="shared" si="17"/>
        <v>18.75</v>
      </c>
      <c r="N356" s="344">
        <f ca="1" t="shared" si="15"/>
        <v>155</v>
      </c>
      <c r="O356" s="358">
        <v>1</v>
      </c>
      <c r="P356" s="340" t="s">
        <v>525</v>
      </c>
    </row>
    <row r="357" spans="2:16" ht="39.75" customHeight="1">
      <c r="B357" s="25">
        <v>39902</v>
      </c>
      <c r="C357" s="340" t="s">
        <v>523</v>
      </c>
      <c r="D357" s="2" t="s">
        <v>1291</v>
      </c>
      <c r="E357" s="26" t="s">
        <v>529</v>
      </c>
      <c r="F357" s="2" t="s">
        <v>42</v>
      </c>
      <c r="G357" s="2" t="s">
        <v>1846</v>
      </c>
      <c r="H357" s="2" t="s">
        <v>415</v>
      </c>
      <c r="I357" s="356">
        <v>1125</v>
      </c>
      <c r="J357" s="346">
        <v>35.77</v>
      </c>
      <c r="K357" s="357">
        <f t="shared" si="16"/>
        <v>31.45093653899916</v>
      </c>
      <c r="L357" s="476">
        <v>60</v>
      </c>
      <c r="M357" s="343">
        <f t="shared" si="17"/>
        <v>18.75</v>
      </c>
      <c r="N357" s="344">
        <f ca="1" t="shared" si="15"/>
        <v>155</v>
      </c>
      <c r="O357" s="358">
        <v>1</v>
      </c>
      <c r="P357" s="340" t="s">
        <v>525</v>
      </c>
    </row>
    <row r="358" spans="2:16" ht="39.75" customHeight="1">
      <c r="B358" s="25">
        <v>39902</v>
      </c>
      <c r="C358" s="340" t="s">
        <v>523</v>
      </c>
      <c r="D358" s="2" t="s">
        <v>1292</v>
      </c>
      <c r="E358" s="26" t="s">
        <v>529</v>
      </c>
      <c r="F358" s="2" t="s">
        <v>42</v>
      </c>
      <c r="G358" s="2" t="s">
        <v>1846</v>
      </c>
      <c r="H358" s="2" t="s">
        <v>415</v>
      </c>
      <c r="I358" s="356">
        <v>1125</v>
      </c>
      <c r="J358" s="346">
        <v>35.77</v>
      </c>
      <c r="K358" s="357">
        <f t="shared" si="16"/>
        <v>31.45093653899916</v>
      </c>
      <c r="L358" s="476">
        <v>60</v>
      </c>
      <c r="M358" s="343">
        <f t="shared" si="17"/>
        <v>18.75</v>
      </c>
      <c r="N358" s="344">
        <f ca="1" t="shared" si="15"/>
        <v>155</v>
      </c>
      <c r="O358" s="358">
        <v>1</v>
      </c>
      <c r="P358" s="340" t="s">
        <v>525</v>
      </c>
    </row>
    <row r="359" spans="2:16" ht="39.75" customHeight="1">
      <c r="B359" s="25">
        <v>39902</v>
      </c>
      <c r="C359" s="340" t="s">
        <v>523</v>
      </c>
      <c r="D359" s="2" t="s">
        <v>1293</v>
      </c>
      <c r="E359" s="26" t="s">
        <v>529</v>
      </c>
      <c r="F359" s="2" t="s">
        <v>42</v>
      </c>
      <c r="G359" s="2" t="s">
        <v>1846</v>
      </c>
      <c r="H359" s="2" t="s">
        <v>415</v>
      </c>
      <c r="I359" s="356">
        <v>1125</v>
      </c>
      <c r="J359" s="346">
        <v>35.77</v>
      </c>
      <c r="K359" s="357">
        <f t="shared" si="16"/>
        <v>31.45093653899916</v>
      </c>
      <c r="L359" s="476">
        <v>60</v>
      </c>
      <c r="M359" s="343">
        <f t="shared" si="17"/>
        <v>18.75</v>
      </c>
      <c r="N359" s="344">
        <f ca="1" t="shared" si="15"/>
        <v>155</v>
      </c>
      <c r="O359" s="358">
        <v>1</v>
      </c>
      <c r="P359" s="340" t="s">
        <v>525</v>
      </c>
    </row>
    <row r="360" spans="2:16" ht="39.75" customHeight="1">
      <c r="B360" s="25">
        <v>39902</v>
      </c>
      <c r="C360" s="340" t="s">
        <v>523</v>
      </c>
      <c r="D360" s="2" t="s">
        <v>1294</v>
      </c>
      <c r="E360" s="26" t="s">
        <v>529</v>
      </c>
      <c r="F360" s="2" t="s">
        <v>42</v>
      </c>
      <c r="G360" s="2" t="s">
        <v>1846</v>
      </c>
      <c r="H360" s="2" t="s">
        <v>415</v>
      </c>
      <c r="I360" s="356">
        <v>1125</v>
      </c>
      <c r="J360" s="346">
        <v>35.77</v>
      </c>
      <c r="K360" s="357">
        <f t="shared" si="16"/>
        <v>31.45093653899916</v>
      </c>
      <c r="L360" s="476">
        <v>60</v>
      </c>
      <c r="M360" s="343">
        <f t="shared" si="17"/>
        <v>18.75</v>
      </c>
      <c r="N360" s="344">
        <f ca="1" t="shared" si="15"/>
        <v>155</v>
      </c>
      <c r="O360" s="358">
        <v>1</v>
      </c>
      <c r="P360" s="340" t="s">
        <v>525</v>
      </c>
    </row>
    <row r="361" spans="2:16" ht="39.75" customHeight="1">
      <c r="B361" s="25">
        <v>39902</v>
      </c>
      <c r="C361" s="340" t="s">
        <v>523</v>
      </c>
      <c r="D361" s="2" t="s">
        <v>1295</v>
      </c>
      <c r="E361" s="26" t="s">
        <v>529</v>
      </c>
      <c r="F361" s="2" t="s">
        <v>42</v>
      </c>
      <c r="G361" s="2" t="s">
        <v>1846</v>
      </c>
      <c r="H361" s="2" t="s">
        <v>415</v>
      </c>
      <c r="I361" s="356">
        <v>1125</v>
      </c>
      <c r="J361" s="346">
        <v>35.77</v>
      </c>
      <c r="K361" s="357">
        <f t="shared" si="16"/>
        <v>31.45093653899916</v>
      </c>
      <c r="L361" s="476">
        <v>60</v>
      </c>
      <c r="M361" s="343">
        <f t="shared" si="17"/>
        <v>18.75</v>
      </c>
      <c r="N361" s="344">
        <f ca="1" t="shared" si="15"/>
        <v>155</v>
      </c>
      <c r="O361" s="358">
        <v>1</v>
      </c>
      <c r="P361" s="340" t="s">
        <v>525</v>
      </c>
    </row>
    <row r="362" spans="2:16" ht="39.75" customHeight="1">
      <c r="B362" s="25">
        <v>39902</v>
      </c>
      <c r="C362" s="340" t="s">
        <v>523</v>
      </c>
      <c r="D362" s="2" t="s">
        <v>1296</v>
      </c>
      <c r="E362" s="26" t="s">
        <v>529</v>
      </c>
      <c r="F362" s="2" t="s">
        <v>42</v>
      </c>
      <c r="G362" s="2" t="s">
        <v>1846</v>
      </c>
      <c r="H362" s="2" t="s">
        <v>415</v>
      </c>
      <c r="I362" s="356">
        <v>1125</v>
      </c>
      <c r="J362" s="346">
        <v>35.77</v>
      </c>
      <c r="K362" s="357">
        <f t="shared" si="16"/>
        <v>31.45093653899916</v>
      </c>
      <c r="L362" s="476">
        <v>60</v>
      </c>
      <c r="M362" s="343">
        <f t="shared" si="17"/>
        <v>18.75</v>
      </c>
      <c r="N362" s="344">
        <f ca="1" t="shared" si="15"/>
        <v>155</v>
      </c>
      <c r="O362" s="358">
        <v>1</v>
      </c>
      <c r="P362" s="340" t="s">
        <v>525</v>
      </c>
    </row>
    <row r="363" spans="2:16" ht="39.75" customHeight="1">
      <c r="B363" s="25">
        <v>39902</v>
      </c>
      <c r="C363" s="340" t="s">
        <v>523</v>
      </c>
      <c r="D363" s="2" t="s">
        <v>1297</v>
      </c>
      <c r="E363" s="26" t="s">
        <v>529</v>
      </c>
      <c r="F363" s="2" t="s">
        <v>42</v>
      </c>
      <c r="G363" s="2" t="s">
        <v>1846</v>
      </c>
      <c r="H363" s="2" t="s">
        <v>415</v>
      </c>
      <c r="I363" s="356">
        <v>1125</v>
      </c>
      <c r="J363" s="346">
        <v>35.77</v>
      </c>
      <c r="K363" s="357">
        <f t="shared" si="16"/>
        <v>31.45093653899916</v>
      </c>
      <c r="L363" s="476">
        <v>60</v>
      </c>
      <c r="M363" s="343">
        <f t="shared" si="17"/>
        <v>18.75</v>
      </c>
      <c r="N363" s="344">
        <f ca="1" t="shared" si="15"/>
        <v>155</v>
      </c>
      <c r="O363" s="358">
        <v>1</v>
      </c>
      <c r="P363" s="340" t="s">
        <v>525</v>
      </c>
    </row>
    <row r="364" spans="2:16" ht="39.75" customHeight="1">
      <c r="B364" s="25">
        <v>39902</v>
      </c>
      <c r="C364" s="340" t="s">
        <v>523</v>
      </c>
      <c r="D364" s="2" t="s">
        <v>1298</v>
      </c>
      <c r="E364" s="26" t="s">
        <v>528</v>
      </c>
      <c r="F364" s="2" t="s">
        <v>42</v>
      </c>
      <c r="G364" s="2" t="s">
        <v>1846</v>
      </c>
      <c r="H364" s="2" t="s">
        <v>415</v>
      </c>
      <c r="I364" s="356">
        <v>2975</v>
      </c>
      <c r="J364" s="346">
        <v>35.77</v>
      </c>
      <c r="K364" s="357">
        <f t="shared" si="16"/>
        <v>83.17025440313111</v>
      </c>
      <c r="L364" s="476">
        <v>60</v>
      </c>
      <c r="M364" s="343">
        <f t="shared" si="17"/>
        <v>49.583333333333336</v>
      </c>
      <c r="N364" s="344">
        <f ca="1" t="shared" si="15"/>
        <v>155</v>
      </c>
      <c r="O364" s="358">
        <v>1</v>
      </c>
      <c r="P364" s="340" t="s">
        <v>525</v>
      </c>
    </row>
    <row r="365" spans="2:16" ht="39.75" customHeight="1">
      <c r="B365" s="25">
        <v>39902</v>
      </c>
      <c r="C365" s="340" t="s">
        <v>4</v>
      </c>
      <c r="D365" s="2" t="s">
        <v>1301</v>
      </c>
      <c r="E365" s="26" t="s">
        <v>9</v>
      </c>
      <c r="F365" s="2" t="s">
        <v>42</v>
      </c>
      <c r="G365" s="2" t="s">
        <v>1846</v>
      </c>
      <c r="H365" s="2" t="s">
        <v>415</v>
      </c>
      <c r="I365" s="356">
        <v>9478.22</v>
      </c>
      <c r="J365" s="346">
        <v>35.77</v>
      </c>
      <c r="K365" s="357">
        <f t="shared" si="16"/>
        <v>264.9767961979312</v>
      </c>
      <c r="L365" s="476">
        <v>60</v>
      </c>
      <c r="M365" s="343">
        <f t="shared" si="17"/>
        <v>157.97033333333331</v>
      </c>
      <c r="N365" s="344">
        <f ca="1" t="shared" si="15"/>
        <v>155</v>
      </c>
      <c r="O365" s="358">
        <v>1</v>
      </c>
      <c r="P365" s="340" t="s">
        <v>525</v>
      </c>
    </row>
    <row r="366" spans="2:16" ht="39.75" customHeight="1">
      <c r="B366" s="25">
        <v>39902</v>
      </c>
      <c r="C366" s="340" t="s">
        <v>4</v>
      </c>
      <c r="D366" s="2" t="s">
        <v>1302</v>
      </c>
      <c r="E366" s="26" t="s">
        <v>9</v>
      </c>
      <c r="F366" s="2" t="s">
        <v>42</v>
      </c>
      <c r="G366" s="2" t="s">
        <v>1846</v>
      </c>
      <c r="H366" s="2" t="s">
        <v>415</v>
      </c>
      <c r="I366" s="356">
        <v>9478.22</v>
      </c>
      <c r="J366" s="346">
        <v>35.77</v>
      </c>
      <c r="K366" s="357">
        <f t="shared" si="16"/>
        <v>264.9767961979312</v>
      </c>
      <c r="L366" s="476">
        <v>60</v>
      </c>
      <c r="M366" s="343">
        <f t="shared" si="17"/>
        <v>157.97033333333331</v>
      </c>
      <c r="N366" s="344">
        <f ca="1" t="shared" si="15"/>
        <v>155</v>
      </c>
      <c r="O366" s="358">
        <v>1</v>
      </c>
      <c r="P366" s="340" t="s">
        <v>6</v>
      </c>
    </row>
    <row r="367" spans="2:16" ht="39.75" customHeight="1">
      <c r="B367" s="25">
        <v>39902</v>
      </c>
      <c r="C367" s="340" t="s">
        <v>4</v>
      </c>
      <c r="D367" s="2" t="s">
        <v>1300</v>
      </c>
      <c r="E367" s="26" t="s">
        <v>8</v>
      </c>
      <c r="F367" s="2" t="s">
        <v>42</v>
      </c>
      <c r="G367" s="2" t="s">
        <v>1846</v>
      </c>
      <c r="H367" s="2" t="s">
        <v>415</v>
      </c>
      <c r="I367" s="356">
        <v>1127.75</v>
      </c>
      <c r="J367" s="346">
        <v>35.77</v>
      </c>
      <c r="K367" s="357">
        <f t="shared" si="16"/>
        <v>31.52781660609449</v>
      </c>
      <c r="L367" s="476">
        <v>60</v>
      </c>
      <c r="M367" s="343">
        <f t="shared" si="17"/>
        <v>18.795833333333334</v>
      </c>
      <c r="N367" s="344">
        <f ca="1" t="shared" si="15"/>
        <v>155</v>
      </c>
      <c r="O367" s="358">
        <v>1</v>
      </c>
      <c r="P367" s="340" t="s">
        <v>6</v>
      </c>
    </row>
    <row r="368" spans="2:16" ht="39.75" customHeight="1">
      <c r="B368" s="25">
        <v>39902</v>
      </c>
      <c r="C368" s="340" t="s">
        <v>4</v>
      </c>
      <c r="D368" s="2" t="s">
        <v>1299</v>
      </c>
      <c r="E368" s="26" t="s">
        <v>7</v>
      </c>
      <c r="F368" s="2" t="s">
        <v>42</v>
      </c>
      <c r="G368" s="2" t="s">
        <v>1846</v>
      </c>
      <c r="H368" s="2" t="s">
        <v>415</v>
      </c>
      <c r="I368" s="356">
        <v>6161.32</v>
      </c>
      <c r="J368" s="346">
        <v>35.77</v>
      </c>
      <c r="K368" s="357">
        <f t="shared" si="16"/>
        <v>172.24825272574782</v>
      </c>
      <c r="L368" s="476">
        <v>60</v>
      </c>
      <c r="M368" s="343">
        <f t="shared" si="17"/>
        <v>102.68866666666666</v>
      </c>
      <c r="N368" s="344">
        <f ca="1" t="shared" si="15"/>
        <v>155</v>
      </c>
      <c r="O368" s="358">
        <v>1</v>
      </c>
      <c r="P368" s="340" t="s">
        <v>6</v>
      </c>
    </row>
    <row r="369" spans="2:16" ht="39.75" customHeight="1">
      <c r="B369" s="25">
        <v>39902</v>
      </c>
      <c r="C369" s="340" t="s">
        <v>4</v>
      </c>
      <c r="D369" s="2" t="s">
        <v>1280</v>
      </c>
      <c r="E369" s="26" t="s">
        <v>5</v>
      </c>
      <c r="F369" s="2" t="s">
        <v>42</v>
      </c>
      <c r="G369" s="2" t="s">
        <v>1846</v>
      </c>
      <c r="H369" s="2" t="s">
        <v>415</v>
      </c>
      <c r="I369" s="356">
        <v>5472.5</v>
      </c>
      <c r="J369" s="346">
        <v>35.77</v>
      </c>
      <c r="K369" s="357">
        <f t="shared" si="16"/>
        <v>152.99133351970923</v>
      </c>
      <c r="L369" s="476">
        <v>60</v>
      </c>
      <c r="M369" s="343">
        <f t="shared" si="17"/>
        <v>91.20833333333333</v>
      </c>
      <c r="N369" s="344">
        <f ca="1" t="shared" si="15"/>
        <v>155</v>
      </c>
      <c r="O369" s="358">
        <v>1</v>
      </c>
      <c r="P369" s="340" t="s">
        <v>6</v>
      </c>
    </row>
    <row r="370" spans="2:16" ht="39.75" customHeight="1">
      <c r="B370" s="25">
        <v>39925</v>
      </c>
      <c r="C370" s="340" t="s">
        <v>299</v>
      </c>
      <c r="D370" s="2" t="s">
        <v>1818</v>
      </c>
      <c r="E370" s="26" t="s">
        <v>47</v>
      </c>
      <c r="F370" s="2" t="s">
        <v>48</v>
      </c>
      <c r="G370" s="2" t="s">
        <v>821</v>
      </c>
      <c r="H370" s="2" t="s">
        <v>753</v>
      </c>
      <c r="I370" s="356">
        <v>4895.39</v>
      </c>
      <c r="J370" s="342">
        <v>35.9</v>
      </c>
      <c r="K370" s="357">
        <f t="shared" si="16"/>
        <v>136.36183844011143</v>
      </c>
      <c r="L370" s="476">
        <v>60</v>
      </c>
      <c r="M370" s="343">
        <f t="shared" si="17"/>
        <v>81.58983333333335</v>
      </c>
      <c r="N370" s="344">
        <f ca="1" t="shared" si="15"/>
        <v>155</v>
      </c>
      <c r="O370" s="358">
        <v>1</v>
      </c>
      <c r="P370" s="340" t="s">
        <v>525</v>
      </c>
    </row>
    <row r="371" spans="2:16" ht="39.75" customHeight="1">
      <c r="B371" s="25">
        <v>39925</v>
      </c>
      <c r="C371" s="340" t="s">
        <v>299</v>
      </c>
      <c r="D371" s="2" t="s">
        <v>1819</v>
      </c>
      <c r="E371" s="26" t="s">
        <v>3648</v>
      </c>
      <c r="F371" s="2" t="s">
        <v>42</v>
      </c>
      <c r="G371" s="2" t="s">
        <v>821</v>
      </c>
      <c r="H371" s="2" t="s">
        <v>753</v>
      </c>
      <c r="I371" s="356">
        <v>10509.67</v>
      </c>
      <c r="J371" s="342">
        <v>35.9</v>
      </c>
      <c r="K371" s="357">
        <f t="shared" si="16"/>
        <v>292.74846796657386</v>
      </c>
      <c r="L371" s="476">
        <v>60</v>
      </c>
      <c r="M371" s="343">
        <f t="shared" si="17"/>
        <v>175.16116666666667</v>
      </c>
      <c r="N371" s="344">
        <f ca="1" t="shared" si="15"/>
        <v>155</v>
      </c>
      <c r="O371" s="358">
        <v>1</v>
      </c>
      <c r="P371" s="340" t="s">
        <v>525</v>
      </c>
    </row>
    <row r="372" spans="2:16" ht="39.75" customHeight="1">
      <c r="B372" s="25">
        <v>39925</v>
      </c>
      <c r="C372" s="340" t="s">
        <v>299</v>
      </c>
      <c r="D372" s="2" t="s">
        <v>1817</v>
      </c>
      <c r="E372" s="26" t="s">
        <v>293</v>
      </c>
      <c r="F372" s="2" t="s">
        <v>42</v>
      </c>
      <c r="G372" s="2" t="s">
        <v>821</v>
      </c>
      <c r="H372" s="2" t="s">
        <v>753</v>
      </c>
      <c r="I372" s="356">
        <v>10900</v>
      </c>
      <c r="J372" s="342">
        <v>35.9</v>
      </c>
      <c r="K372" s="357">
        <f t="shared" si="16"/>
        <v>303.62116991643455</v>
      </c>
      <c r="L372" s="476">
        <v>60</v>
      </c>
      <c r="M372" s="343">
        <f t="shared" si="17"/>
        <v>181.66666666666666</v>
      </c>
      <c r="N372" s="344">
        <f ca="1" t="shared" si="15"/>
        <v>155</v>
      </c>
      <c r="O372" s="358">
        <v>1</v>
      </c>
      <c r="P372" s="340" t="s">
        <v>525</v>
      </c>
    </row>
    <row r="373" spans="2:16" ht="39.75" customHeight="1">
      <c r="B373" s="25">
        <v>39930</v>
      </c>
      <c r="C373" s="340" t="s">
        <v>300</v>
      </c>
      <c r="D373" s="2" t="s">
        <v>1820</v>
      </c>
      <c r="E373" s="26" t="s">
        <v>294</v>
      </c>
      <c r="F373" s="2" t="s">
        <v>42</v>
      </c>
      <c r="G373" s="2" t="s">
        <v>821</v>
      </c>
      <c r="H373" s="2" t="s">
        <v>753</v>
      </c>
      <c r="I373" s="356">
        <v>16000</v>
      </c>
      <c r="J373" s="342">
        <v>35.9</v>
      </c>
      <c r="K373" s="357">
        <f t="shared" si="16"/>
        <v>445.68245125348193</v>
      </c>
      <c r="L373" s="476">
        <v>60</v>
      </c>
      <c r="M373" s="343">
        <f t="shared" si="17"/>
        <v>266.6666666666667</v>
      </c>
      <c r="N373" s="344">
        <f ca="1" t="shared" si="15"/>
        <v>155</v>
      </c>
      <c r="O373" s="358">
        <v>1</v>
      </c>
      <c r="P373" s="340" t="s">
        <v>525</v>
      </c>
    </row>
    <row r="374" spans="2:16" ht="39.75" customHeight="1">
      <c r="B374" s="25">
        <v>39932</v>
      </c>
      <c r="C374" s="340" t="s">
        <v>329</v>
      </c>
      <c r="D374" s="2" t="s">
        <v>1136</v>
      </c>
      <c r="E374" s="26" t="s">
        <v>181</v>
      </c>
      <c r="F374" s="2" t="s">
        <v>42</v>
      </c>
      <c r="G374" s="2" t="s">
        <v>821</v>
      </c>
      <c r="H374" s="2" t="s">
        <v>313</v>
      </c>
      <c r="I374" s="201">
        <v>10530</v>
      </c>
      <c r="J374" s="342">
        <v>35.9</v>
      </c>
      <c r="K374" s="357">
        <f t="shared" si="16"/>
        <v>293.3147632311978</v>
      </c>
      <c r="L374" s="477">
        <v>60</v>
      </c>
      <c r="M374" s="343">
        <f t="shared" si="17"/>
        <v>175.5</v>
      </c>
      <c r="N374" s="344">
        <f ca="1" t="shared" si="15"/>
        <v>154</v>
      </c>
      <c r="O374" s="33">
        <v>1</v>
      </c>
      <c r="P374" s="340" t="s">
        <v>525</v>
      </c>
    </row>
    <row r="375" spans="2:16" ht="39.75" customHeight="1">
      <c r="B375" s="25">
        <v>39932</v>
      </c>
      <c r="C375" s="340" t="s">
        <v>329</v>
      </c>
      <c r="D375" s="2" t="s">
        <v>1138</v>
      </c>
      <c r="E375" s="26" t="s">
        <v>344</v>
      </c>
      <c r="F375" s="2" t="s">
        <v>42</v>
      </c>
      <c r="G375" s="2" t="s">
        <v>821</v>
      </c>
      <c r="H375" s="2" t="s">
        <v>313</v>
      </c>
      <c r="I375" s="201">
        <v>4355</v>
      </c>
      <c r="J375" s="342">
        <v>35.9</v>
      </c>
      <c r="K375" s="357">
        <f t="shared" si="16"/>
        <v>121.3091922005571</v>
      </c>
      <c r="L375" s="477">
        <v>60</v>
      </c>
      <c r="M375" s="343">
        <f t="shared" si="17"/>
        <v>72.58333333333333</v>
      </c>
      <c r="N375" s="344">
        <f ca="1" t="shared" si="15"/>
        <v>154</v>
      </c>
      <c r="O375" s="33">
        <v>1</v>
      </c>
      <c r="P375" s="340" t="s">
        <v>525</v>
      </c>
    </row>
    <row r="376" spans="2:16" ht="39.75" customHeight="1">
      <c r="B376" s="25">
        <v>39932</v>
      </c>
      <c r="C376" s="340" t="s">
        <v>329</v>
      </c>
      <c r="D376" s="2" t="s">
        <v>1145</v>
      </c>
      <c r="E376" s="26" t="s">
        <v>179</v>
      </c>
      <c r="F376" s="2" t="s">
        <v>42</v>
      </c>
      <c r="G376" s="2" t="s">
        <v>821</v>
      </c>
      <c r="H376" s="2" t="s">
        <v>313</v>
      </c>
      <c r="I376" s="201">
        <v>6860</v>
      </c>
      <c r="J376" s="342">
        <v>35.9</v>
      </c>
      <c r="K376" s="357">
        <f t="shared" si="16"/>
        <v>191.08635097493038</v>
      </c>
      <c r="L376" s="477">
        <v>60</v>
      </c>
      <c r="M376" s="343">
        <f t="shared" si="17"/>
        <v>114.33333333333333</v>
      </c>
      <c r="N376" s="344">
        <f ca="1" t="shared" si="15"/>
        <v>154</v>
      </c>
      <c r="O376" s="33">
        <v>1</v>
      </c>
      <c r="P376" s="340" t="s">
        <v>525</v>
      </c>
    </row>
    <row r="377" spans="2:16" ht="39.75" customHeight="1">
      <c r="B377" s="25">
        <v>39932</v>
      </c>
      <c r="C377" s="340" t="s">
        <v>329</v>
      </c>
      <c r="D377" s="2" t="s">
        <v>1137</v>
      </c>
      <c r="E377" s="26" t="s">
        <v>182</v>
      </c>
      <c r="F377" s="2" t="s">
        <v>42</v>
      </c>
      <c r="G377" s="2" t="s">
        <v>821</v>
      </c>
      <c r="H377" s="2" t="s">
        <v>313</v>
      </c>
      <c r="I377" s="201">
        <v>7835</v>
      </c>
      <c r="J377" s="342">
        <v>35.9</v>
      </c>
      <c r="K377" s="357">
        <f t="shared" si="16"/>
        <v>218.24512534818942</v>
      </c>
      <c r="L377" s="477">
        <v>60</v>
      </c>
      <c r="M377" s="343">
        <f t="shared" si="17"/>
        <v>130.58333333333334</v>
      </c>
      <c r="N377" s="344">
        <f ca="1" t="shared" si="15"/>
        <v>154</v>
      </c>
      <c r="O377" s="33">
        <v>1</v>
      </c>
      <c r="P377" s="340" t="s">
        <v>525</v>
      </c>
    </row>
    <row r="378" spans="2:16" ht="39.75" customHeight="1">
      <c r="B378" s="25">
        <v>39932</v>
      </c>
      <c r="C378" s="340" t="s">
        <v>329</v>
      </c>
      <c r="D378" s="2" t="s">
        <v>1147</v>
      </c>
      <c r="E378" s="26" t="s">
        <v>1146</v>
      </c>
      <c r="F378" s="2" t="s">
        <v>42</v>
      </c>
      <c r="G378" s="2" t="s">
        <v>821</v>
      </c>
      <c r="H378" s="2" t="s">
        <v>313</v>
      </c>
      <c r="I378" s="201">
        <v>32870</v>
      </c>
      <c r="J378" s="342">
        <v>35.9</v>
      </c>
      <c r="K378" s="357">
        <f t="shared" si="16"/>
        <v>915.5988857938719</v>
      </c>
      <c r="L378" s="477">
        <v>60</v>
      </c>
      <c r="M378" s="343">
        <f t="shared" si="17"/>
        <v>547.8333333333334</v>
      </c>
      <c r="N378" s="344">
        <f ca="1" t="shared" si="15"/>
        <v>154</v>
      </c>
      <c r="O378" s="33">
        <v>1</v>
      </c>
      <c r="P378" s="340" t="s">
        <v>525</v>
      </c>
    </row>
    <row r="379" spans="2:16" ht="39.75" customHeight="1">
      <c r="B379" s="25">
        <v>39932</v>
      </c>
      <c r="C379" s="340" t="s">
        <v>329</v>
      </c>
      <c r="D379" s="2" t="s">
        <v>1148</v>
      </c>
      <c r="E379" s="26" t="s">
        <v>1146</v>
      </c>
      <c r="F379" s="2" t="s">
        <v>42</v>
      </c>
      <c r="G379" s="2" t="s">
        <v>821</v>
      </c>
      <c r="H379" s="2" t="s">
        <v>313</v>
      </c>
      <c r="I379" s="201">
        <v>32870</v>
      </c>
      <c r="J379" s="342">
        <v>35.9</v>
      </c>
      <c r="K379" s="357">
        <f t="shared" si="16"/>
        <v>915.5988857938719</v>
      </c>
      <c r="L379" s="477">
        <v>60</v>
      </c>
      <c r="M379" s="343">
        <f t="shared" si="17"/>
        <v>547.8333333333334</v>
      </c>
      <c r="N379" s="344">
        <f ca="1" t="shared" si="15"/>
        <v>154</v>
      </c>
      <c r="O379" s="33">
        <v>1</v>
      </c>
      <c r="P379" s="340" t="s">
        <v>525</v>
      </c>
    </row>
    <row r="380" spans="2:16" ht="39.75" customHeight="1">
      <c r="B380" s="25">
        <v>39932</v>
      </c>
      <c r="C380" s="340" t="s">
        <v>329</v>
      </c>
      <c r="D380" s="2" t="s">
        <v>1139</v>
      </c>
      <c r="E380" s="26" t="s">
        <v>183</v>
      </c>
      <c r="F380" s="2" t="s">
        <v>42</v>
      </c>
      <c r="G380" s="2" t="s">
        <v>821</v>
      </c>
      <c r="H380" s="2" t="s">
        <v>313</v>
      </c>
      <c r="I380" s="201">
        <v>1125</v>
      </c>
      <c r="J380" s="342">
        <v>35.9</v>
      </c>
      <c r="K380" s="357">
        <f t="shared" si="16"/>
        <v>31.337047353760447</v>
      </c>
      <c r="L380" s="477">
        <v>60</v>
      </c>
      <c r="M380" s="343">
        <f t="shared" si="17"/>
        <v>18.75</v>
      </c>
      <c r="N380" s="344">
        <f ca="1" t="shared" si="15"/>
        <v>154</v>
      </c>
      <c r="O380" s="33">
        <v>1</v>
      </c>
      <c r="P380" s="340" t="s">
        <v>525</v>
      </c>
    </row>
    <row r="381" spans="2:16" ht="39.75" customHeight="1">
      <c r="B381" s="25">
        <v>39932</v>
      </c>
      <c r="C381" s="340" t="s">
        <v>329</v>
      </c>
      <c r="D381" s="2" t="s">
        <v>1140</v>
      </c>
      <c r="E381" s="26" t="s">
        <v>183</v>
      </c>
      <c r="F381" s="2" t="s">
        <v>42</v>
      </c>
      <c r="G381" s="2" t="s">
        <v>821</v>
      </c>
      <c r="H381" s="2" t="s">
        <v>313</v>
      </c>
      <c r="I381" s="201">
        <v>1125</v>
      </c>
      <c r="J381" s="342">
        <v>35.9</v>
      </c>
      <c r="K381" s="357">
        <f t="shared" si="16"/>
        <v>31.337047353760447</v>
      </c>
      <c r="L381" s="477">
        <v>60</v>
      </c>
      <c r="M381" s="343">
        <f t="shared" si="17"/>
        <v>18.75</v>
      </c>
      <c r="N381" s="344">
        <f ca="1" t="shared" si="15"/>
        <v>154</v>
      </c>
      <c r="O381" s="33">
        <v>1</v>
      </c>
      <c r="P381" s="340" t="s">
        <v>525</v>
      </c>
    </row>
    <row r="382" spans="2:16" ht="39.75" customHeight="1">
      <c r="B382" s="25">
        <v>39932</v>
      </c>
      <c r="C382" s="340" t="s">
        <v>329</v>
      </c>
      <c r="D382" s="2" t="s">
        <v>1141</v>
      </c>
      <c r="E382" s="26" t="s">
        <v>183</v>
      </c>
      <c r="F382" s="2" t="s">
        <v>42</v>
      </c>
      <c r="G382" s="2" t="s">
        <v>821</v>
      </c>
      <c r="H382" s="2" t="s">
        <v>313</v>
      </c>
      <c r="I382" s="201">
        <v>1125</v>
      </c>
      <c r="J382" s="342">
        <v>35.9</v>
      </c>
      <c r="K382" s="357">
        <f t="shared" si="16"/>
        <v>31.337047353760447</v>
      </c>
      <c r="L382" s="477">
        <v>60</v>
      </c>
      <c r="M382" s="343">
        <f t="shared" si="17"/>
        <v>18.75</v>
      </c>
      <c r="N382" s="344">
        <f ca="1" t="shared" si="15"/>
        <v>154</v>
      </c>
      <c r="O382" s="33">
        <v>1</v>
      </c>
      <c r="P382" s="340" t="s">
        <v>525</v>
      </c>
    </row>
    <row r="383" spans="2:16" ht="39.75" customHeight="1">
      <c r="B383" s="25">
        <v>39932</v>
      </c>
      <c r="C383" s="340" t="s">
        <v>329</v>
      </c>
      <c r="D383" s="2" t="s">
        <v>1142</v>
      </c>
      <c r="E383" s="26" t="s">
        <v>183</v>
      </c>
      <c r="F383" s="2" t="s">
        <v>42</v>
      </c>
      <c r="G383" s="2" t="s">
        <v>821</v>
      </c>
      <c r="H383" s="2" t="s">
        <v>313</v>
      </c>
      <c r="I383" s="201">
        <v>1125</v>
      </c>
      <c r="J383" s="342">
        <v>35.9</v>
      </c>
      <c r="K383" s="357">
        <f t="shared" si="16"/>
        <v>31.337047353760447</v>
      </c>
      <c r="L383" s="477">
        <v>60</v>
      </c>
      <c r="M383" s="343">
        <f t="shared" si="17"/>
        <v>18.75</v>
      </c>
      <c r="N383" s="344">
        <f ca="1" t="shared" si="15"/>
        <v>154</v>
      </c>
      <c r="O383" s="33">
        <v>1</v>
      </c>
      <c r="P383" s="340" t="s">
        <v>525</v>
      </c>
    </row>
    <row r="384" spans="2:16" ht="39.75" customHeight="1">
      <c r="B384" s="25">
        <v>39932</v>
      </c>
      <c r="C384" s="340" t="s">
        <v>328</v>
      </c>
      <c r="D384" s="2" t="s">
        <v>1149</v>
      </c>
      <c r="E384" s="26" t="s">
        <v>1171</v>
      </c>
      <c r="F384" s="2" t="s">
        <v>42</v>
      </c>
      <c r="G384" s="2" t="s">
        <v>821</v>
      </c>
      <c r="H384" s="2" t="s">
        <v>313</v>
      </c>
      <c r="I384" s="201">
        <v>1300</v>
      </c>
      <c r="J384" s="342">
        <v>35.9</v>
      </c>
      <c r="K384" s="357">
        <f t="shared" si="16"/>
        <v>36.211699164345404</v>
      </c>
      <c r="L384" s="477">
        <v>60</v>
      </c>
      <c r="M384" s="343">
        <f t="shared" si="17"/>
        <v>21.666666666666668</v>
      </c>
      <c r="N384" s="344">
        <f ca="1" t="shared" si="15"/>
        <v>154</v>
      </c>
      <c r="O384" s="33">
        <v>1</v>
      </c>
      <c r="P384" s="340" t="s">
        <v>6</v>
      </c>
    </row>
    <row r="385" spans="2:16" ht="39.75" customHeight="1">
      <c r="B385" s="25">
        <v>39932</v>
      </c>
      <c r="C385" s="340" t="s">
        <v>328</v>
      </c>
      <c r="D385" s="2" t="s">
        <v>1150</v>
      </c>
      <c r="E385" s="26" t="s">
        <v>177</v>
      </c>
      <c r="F385" s="2" t="s">
        <v>42</v>
      </c>
      <c r="G385" s="2" t="s">
        <v>821</v>
      </c>
      <c r="H385" s="2" t="s">
        <v>313</v>
      </c>
      <c r="I385" s="201">
        <v>1150</v>
      </c>
      <c r="J385" s="342">
        <v>35.9</v>
      </c>
      <c r="K385" s="357">
        <f t="shared" si="16"/>
        <v>32.033426183844014</v>
      </c>
      <c r="L385" s="477">
        <v>60</v>
      </c>
      <c r="M385" s="343">
        <f t="shared" si="17"/>
        <v>19.166666666666668</v>
      </c>
      <c r="N385" s="344">
        <f ca="1" t="shared" si="15"/>
        <v>154</v>
      </c>
      <c r="O385" s="33">
        <v>1</v>
      </c>
      <c r="P385" s="340" t="s">
        <v>6</v>
      </c>
    </row>
    <row r="386" spans="2:16" ht="39.75" customHeight="1">
      <c r="B386" s="25">
        <v>39932</v>
      </c>
      <c r="C386" s="340" t="s">
        <v>328</v>
      </c>
      <c r="D386" s="2" t="s">
        <v>1151</v>
      </c>
      <c r="E386" s="26" t="s">
        <v>177</v>
      </c>
      <c r="F386" s="2" t="s">
        <v>42</v>
      </c>
      <c r="G386" s="2" t="s">
        <v>821</v>
      </c>
      <c r="H386" s="2" t="s">
        <v>313</v>
      </c>
      <c r="I386" s="201">
        <v>1150</v>
      </c>
      <c r="J386" s="342">
        <v>35.9</v>
      </c>
      <c r="K386" s="357">
        <f t="shared" si="16"/>
        <v>32.033426183844014</v>
      </c>
      <c r="L386" s="477">
        <v>60</v>
      </c>
      <c r="M386" s="343">
        <f t="shared" si="17"/>
        <v>19.166666666666668</v>
      </c>
      <c r="N386" s="344">
        <f ca="1" t="shared" si="15"/>
        <v>154</v>
      </c>
      <c r="O386" s="33">
        <v>1</v>
      </c>
      <c r="P386" s="340" t="s">
        <v>6</v>
      </c>
    </row>
    <row r="387" spans="2:16" ht="39.75" customHeight="1">
      <c r="B387" s="25">
        <v>39932</v>
      </c>
      <c r="C387" s="340" t="s">
        <v>328</v>
      </c>
      <c r="D387" s="2" t="s">
        <v>1144</v>
      </c>
      <c r="E387" s="26" t="s">
        <v>357</v>
      </c>
      <c r="F387" s="2" t="s">
        <v>42</v>
      </c>
      <c r="G387" s="2" t="s">
        <v>821</v>
      </c>
      <c r="H387" s="2" t="s">
        <v>313</v>
      </c>
      <c r="I387" s="201">
        <v>2136.72</v>
      </c>
      <c r="J387" s="342">
        <v>35.9</v>
      </c>
      <c r="K387" s="357">
        <f t="shared" si="16"/>
        <v>59.51866295264624</v>
      </c>
      <c r="L387" s="477">
        <v>60</v>
      </c>
      <c r="M387" s="343">
        <f t="shared" si="17"/>
        <v>35.611999999999995</v>
      </c>
      <c r="N387" s="344">
        <f ca="1" t="shared" si="15"/>
        <v>154</v>
      </c>
      <c r="O387" s="33">
        <v>1</v>
      </c>
      <c r="P387" s="340" t="s">
        <v>6</v>
      </c>
    </row>
    <row r="388" spans="2:16" ht="39.75" customHeight="1">
      <c r="B388" s="25">
        <v>39932</v>
      </c>
      <c r="C388" s="340" t="s">
        <v>328</v>
      </c>
      <c r="D388" s="2" t="s">
        <v>1143</v>
      </c>
      <c r="E388" s="26" t="s">
        <v>178</v>
      </c>
      <c r="F388" s="2" t="s">
        <v>42</v>
      </c>
      <c r="G388" s="2" t="s">
        <v>821</v>
      </c>
      <c r="H388" s="2" t="s">
        <v>313</v>
      </c>
      <c r="I388" s="201">
        <v>3730.56</v>
      </c>
      <c r="J388" s="342">
        <v>35.9</v>
      </c>
      <c r="K388" s="357">
        <f t="shared" si="16"/>
        <v>103.91532033426184</v>
      </c>
      <c r="L388" s="477">
        <v>60</v>
      </c>
      <c r="M388" s="343">
        <f t="shared" si="17"/>
        <v>62.176</v>
      </c>
      <c r="N388" s="344">
        <f ca="1" t="shared" si="15"/>
        <v>154</v>
      </c>
      <c r="O388" s="33">
        <v>1</v>
      </c>
      <c r="P388" s="340" t="s">
        <v>6</v>
      </c>
    </row>
    <row r="389" spans="2:16" ht="39.75" customHeight="1">
      <c r="B389" s="25">
        <v>39933</v>
      </c>
      <c r="C389" s="340" t="s">
        <v>301</v>
      </c>
      <c r="D389" s="2" t="s">
        <v>1109</v>
      </c>
      <c r="E389" s="26" t="s">
        <v>295</v>
      </c>
      <c r="F389" s="2" t="s">
        <v>42</v>
      </c>
      <c r="G389" s="2" t="s">
        <v>821</v>
      </c>
      <c r="H389" s="2" t="s">
        <v>337</v>
      </c>
      <c r="I389" s="356">
        <v>3998</v>
      </c>
      <c r="J389" s="342">
        <v>35.9</v>
      </c>
      <c r="K389" s="357">
        <f t="shared" si="16"/>
        <v>111.36490250696379</v>
      </c>
      <c r="L389" s="476">
        <v>60</v>
      </c>
      <c r="M389" s="343">
        <f t="shared" si="17"/>
        <v>66.63333333333334</v>
      </c>
      <c r="N389" s="344">
        <f ca="1" t="shared" si="15"/>
        <v>154</v>
      </c>
      <c r="O389" s="358">
        <v>1</v>
      </c>
      <c r="P389" s="340" t="s">
        <v>46</v>
      </c>
    </row>
    <row r="390" spans="2:16" ht="39.75" customHeight="1">
      <c r="B390" s="25">
        <v>39933</v>
      </c>
      <c r="C390" s="340" t="s">
        <v>301</v>
      </c>
      <c r="D390" s="2" t="s">
        <v>1110</v>
      </c>
      <c r="E390" s="26" t="s">
        <v>295</v>
      </c>
      <c r="F390" s="2" t="s">
        <v>42</v>
      </c>
      <c r="G390" s="2" t="s">
        <v>821</v>
      </c>
      <c r="H390" s="2" t="s">
        <v>337</v>
      </c>
      <c r="I390" s="356">
        <v>3998</v>
      </c>
      <c r="J390" s="342">
        <v>35.9</v>
      </c>
      <c r="K390" s="357">
        <f t="shared" si="16"/>
        <v>111.36490250696379</v>
      </c>
      <c r="L390" s="476">
        <v>60</v>
      </c>
      <c r="M390" s="343">
        <f t="shared" si="17"/>
        <v>66.63333333333334</v>
      </c>
      <c r="N390" s="344">
        <f ca="1" t="shared" si="15"/>
        <v>154</v>
      </c>
      <c r="O390" s="358">
        <v>1</v>
      </c>
      <c r="P390" s="340" t="s">
        <v>46</v>
      </c>
    </row>
    <row r="391" spans="2:16" ht="39.75" customHeight="1">
      <c r="B391" s="25">
        <v>39940</v>
      </c>
      <c r="C391" s="340" t="s">
        <v>327</v>
      </c>
      <c r="D391" s="2" t="s">
        <v>1152</v>
      </c>
      <c r="E391" s="26" t="s">
        <v>1172</v>
      </c>
      <c r="F391" s="2">
        <v>601105025</v>
      </c>
      <c r="G391" s="2" t="s">
        <v>821</v>
      </c>
      <c r="H391" s="2" t="s">
        <v>313</v>
      </c>
      <c r="I391" s="201">
        <v>83800</v>
      </c>
      <c r="J391" s="342">
        <v>35.9</v>
      </c>
      <c r="K391" s="357">
        <f t="shared" si="16"/>
        <v>2334.2618384401117</v>
      </c>
      <c r="L391" s="477">
        <v>60</v>
      </c>
      <c r="M391" s="343">
        <f t="shared" si="17"/>
        <v>1396.6666666666667</v>
      </c>
      <c r="N391" s="344">
        <f ca="1" t="shared" si="15"/>
        <v>154</v>
      </c>
      <c r="O391" s="33">
        <v>1</v>
      </c>
      <c r="P391" s="340" t="s">
        <v>170</v>
      </c>
    </row>
    <row r="392" spans="2:16" ht="39.75" customHeight="1">
      <c r="B392" s="25">
        <v>39940</v>
      </c>
      <c r="C392" s="340" t="s">
        <v>327</v>
      </c>
      <c r="D392" s="2" t="s">
        <v>1153</v>
      </c>
      <c r="E392" s="26" t="s">
        <v>171</v>
      </c>
      <c r="F392" s="2" t="s">
        <v>1170</v>
      </c>
      <c r="G392" s="2" t="s">
        <v>821</v>
      </c>
      <c r="H392" s="2" t="s">
        <v>313</v>
      </c>
      <c r="I392" s="201">
        <v>7618</v>
      </c>
      <c r="J392" s="342">
        <v>35.9</v>
      </c>
      <c r="K392" s="357">
        <f t="shared" si="16"/>
        <v>212.20055710306409</v>
      </c>
      <c r="L392" s="477">
        <v>60</v>
      </c>
      <c r="M392" s="343">
        <f t="shared" si="17"/>
        <v>126.96666666666667</v>
      </c>
      <c r="N392" s="344">
        <f aca="true" ca="1" t="shared" si="18" ref="N392:N455">IF(B392&lt;&gt;0,(ROUND((NOW()-B392)/30,0)),0)</f>
        <v>154</v>
      </c>
      <c r="O392" s="33">
        <v>1</v>
      </c>
      <c r="P392" s="340" t="s">
        <v>170</v>
      </c>
    </row>
    <row r="393" spans="2:16" ht="39.75" customHeight="1">
      <c r="B393" s="25">
        <v>39940</v>
      </c>
      <c r="C393" s="340" t="s">
        <v>327</v>
      </c>
      <c r="D393" s="2" t="s">
        <v>1157</v>
      </c>
      <c r="E393" s="26" t="s">
        <v>172</v>
      </c>
      <c r="F393" s="2" t="s">
        <v>42</v>
      </c>
      <c r="G393" s="2" t="s">
        <v>821</v>
      </c>
      <c r="H393" s="2" t="s">
        <v>313</v>
      </c>
      <c r="I393" s="201">
        <v>741</v>
      </c>
      <c r="J393" s="342">
        <v>35.9</v>
      </c>
      <c r="K393" s="357">
        <f aca="true" t="shared" si="19" ref="K393:K456">+I393/J393</f>
        <v>20.64066852367688</v>
      </c>
      <c r="L393" s="477">
        <v>60</v>
      </c>
      <c r="M393" s="343">
        <f aca="true" t="shared" si="20" ref="M393:M456">+I393/L473</f>
        <v>12.35</v>
      </c>
      <c r="N393" s="344">
        <f ca="1" t="shared" si="18"/>
        <v>154</v>
      </c>
      <c r="O393" s="33">
        <v>1</v>
      </c>
      <c r="P393" s="340" t="s">
        <v>170</v>
      </c>
    </row>
    <row r="394" spans="2:16" ht="39.75" customHeight="1">
      <c r="B394" s="25">
        <v>39940</v>
      </c>
      <c r="C394" s="340" t="s">
        <v>327</v>
      </c>
      <c r="D394" s="2" t="s">
        <v>1155</v>
      </c>
      <c r="E394" s="26" t="s">
        <v>174</v>
      </c>
      <c r="F394" s="2" t="s">
        <v>42</v>
      </c>
      <c r="G394" s="2" t="s">
        <v>821</v>
      </c>
      <c r="H394" s="2" t="s">
        <v>313</v>
      </c>
      <c r="I394" s="201">
        <v>3230</v>
      </c>
      <c r="J394" s="342">
        <v>35.9</v>
      </c>
      <c r="K394" s="357">
        <f t="shared" si="19"/>
        <v>89.97214484679667</v>
      </c>
      <c r="L394" s="477">
        <v>60</v>
      </c>
      <c r="M394" s="343">
        <f t="shared" si="20"/>
        <v>53.833333333333336</v>
      </c>
      <c r="N394" s="344">
        <f ca="1" t="shared" si="18"/>
        <v>154</v>
      </c>
      <c r="O394" s="33">
        <v>1</v>
      </c>
      <c r="P394" s="340" t="s">
        <v>170</v>
      </c>
    </row>
    <row r="395" spans="2:16" ht="39.75" customHeight="1">
      <c r="B395" s="25">
        <v>39940</v>
      </c>
      <c r="C395" s="340" t="s">
        <v>327</v>
      </c>
      <c r="D395" s="2" t="s">
        <v>1154</v>
      </c>
      <c r="E395" s="26" t="s">
        <v>173</v>
      </c>
      <c r="F395" s="2" t="s">
        <v>42</v>
      </c>
      <c r="G395" s="2" t="s">
        <v>821</v>
      </c>
      <c r="H395" s="2" t="s">
        <v>313</v>
      </c>
      <c r="I395" s="201">
        <v>1912</v>
      </c>
      <c r="J395" s="342">
        <v>35.9</v>
      </c>
      <c r="K395" s="357">
        <f t="shared" si="19"/>
        <v>53.259052924791085</v>
      </c>
      <c r="L395" s="477">
        <v>120</v>
      </c>
      <c r="M395" s="343">
        <f t="shared" si="20"/>
        <v>31.866666666666667</v>
      </c>
      <c r="N395" s="344">
        <f ca="1" t="shared" si="18"/>
        <v>154</v>
      </c>
      <c r="O395" s="33">
        <v>1</v>
      </c>
      <c r="P395" s="340" t="s">
        <v>170</v>
      </c>
    </row>
    <row r="396" spans="2:16" ht="39.75" customHeight="1">
      <c r="B396" s="25">
        <v>39940</v>
      </c>
      <c r="C396" s="340" t="s">
        <v>327</v>
      </c>
      <c r="D396" s="2" t="s">
        <v>1156</v>
      </c>
      <c r="E396" s="26" t="s">
        <v>175</v>
      </c>
      <c r="F396" s="2" t="s">
        <v>42</v>
      </c>
      <c r="G396" s="2" t="s">
        <v>821</v>
      </c>
      <c r="H396" s="2" t="s">
        <v>313</v>
      </c>
      <c r="I396" s="201">
        <v>8075</v>
      </c>
      <c r="J396" s="342">
        <v>35.9</v>
      </c>
      <c r="K396" s="357">
        <f t="shared" si="19"/>
        <v>224.93036211699166</v>
      </c>
      <c r="L396" s="477">
        <v>60</v>
      </c>
      <c r="M396" s="343">
        <f t="shared" si="20"/>
        <v>134.58333333333334</v>
      </c>
      <c r="N396" s="344">
        <f ca="1" t="shared" si="18"/>
        <v>154</v>
      </c>
      <c r="O396" s="33">
        <v>1</v>
      </c>
      <c r="P396" s="340" t="s">
        <v>170</v>
      </c>
    </row>
    <row r="397" spans="2:16" ht="39.75" customHeight="1">
      <c r="B397" s="25">
        <v>39940</v>
      </c>
      <c r="C397" s="340" t="s">
        <v>327</v>
      </c>
      <c r="D397" s="2" t="s">
        <v>1158</v>
      </c>
      <c r="E397" s="26" t="s">
        <v>176</v>
      </c>
      <c r="F397" s="2" t="s">
        <v>42</v>
      </c>
      <c r="G397" s="2" t="s">
        <v>821</v>
      </c>
      <c r="H397" s="2" t="s">
        <v>313</v>
      </c>
      <c r="I397" s="201">
        <v>6558</v>
      </c>
      <c r="J397" s="342">
        <v>35.9</v>
      </c>
      <c r="K397" s="357">
        <f t="shared" si="19"/>
        <v>182.6740947075209</v>
      </c>
      <c r="L397" s="477">
        <v>60</v>
      </c>
      <c r="M397" s="343">
        <f t="shared" si="20"/>
        <v>109.3</v>
      </c>
      <c r="N397" s="344">
        <f ca="1" t="shared" si="18"/>
        <v>154</v>
      </c>
      <c r="O397" s="33">
        <v>1</v>
      </c>
      <c r="P397" s="340" t="s">
        <v>170</v>
      </c>
    </row>
    <row r="398" spans="2:16" ht="39.75" customHeight="1">
      <c r="B398" s="25">
        <v>39948</v>
      </c>
      <c r="C398" s="340" t="s">
        <v>518</v>
      </c>
      <c r="D398" s="2" t="s">
        <v>1209</v>
      </c>
      <c r="E398" s="26" t="s">
        <v>128</v>
      </c>
      <c r="F398" s="2" t="s">
        <v>129</v>
      </c>
      <c r="G398" s="2" t="s">
        <v>1827</v>
      </c>
      <c r="H398" s="2" t="s">
        <v>158</v>
      </c>
      <c r="I398" s="356">
        <v>791872.4</v>
      </c>
      <c r="J398" s="342">
        <v>35.9942</v>
      </c>
      <c r="K398" s="357">
        <f t="shared" si="19"/>
        <v>22000</v>
      </c>
      <c r="L398" s="476">
        <v>60</v>
      </c>
      <c r="M398" s="343">
        <f t="shared" si="20"/>
        <v>13197.873333333333</v>
      </c>
      <c r="N398" s="344">
        <f ca="1" t="shared" si="18"/>
        <v>154</v>
      </c>
      <c r="O398" s="358">
        <v>1</v>
      </c>
      <c r="P398" s="340" t="s">
        <v>422</v>
      </c>
    </row>
    <row r="399" spans="2:16" ht="39.75" customHeight="1">
      <c r="B399" s="25">
        <v>39959</v>
      </c>
      <c r="C399" s="340" t="s">
        <v>326</v>
      </c>
      <c r="D399" s="2" t="s">
        <v>1160</v>
      </c>
      <c r="E399" s="26" t="s">
        <v>423</v>
      </c>
      <c r="F399" s="2" t="s">
        <v>42</v>
      </c>
      <c r="G399" s="2" t="s">
        <v>821</v>
      </c>
      <c r="H399" s="2" t="s">
        <v>313</v>
      </c>
      <c r="I399" s="356">
        <v>10280</v>
      </c>
      <c r="J399" s="342">
        <v>35.9</v>
      </c>
      <c r="K399" s="357">
        <f t="shared" si="19"/>
        <v>286.35097493036216</v>
      </c>
      <c r="L399" s="476">
        <v>60</v>
      </c>
      <c r="M399" s="343">
        <f t="shared" si="20"/>
        <v>171.33333333333334</v>
      </c>
      <c r="N399" s="344">
        <f ca="1" t="shared" si="18"/>
        <v>154</v>
      </c>
      <c r="O399" s="358">
        <v>1</v>
      </c>
      <c r="P399" s="340" t="s">
        <v>422</v>
      </c>
    </row>
    <row r="400" spans="2:16" ht="39.75" customHeight="1">
      <c r="B400" s="25">
        <v>39959</v>
      </c>
      <c r="C400" s="340" t="s">
        <v>326</v>
      </c>
      <c r="D400" s="2" t="s">
        <v>1159</v>
      </c>
      <c r="E400" s="26" t="s">
        <v>424</v>
      </c>
      <c r="F400" s="2" t="s">
        <v>42</v>
      </c>
      <c r="G400" s="2" t="s">
        <v>821</v>
      </c>
      <c r="H400" s="2" t="s">
        <v>313</v>
      </c>
      <c r="I400" s="356">
        <v>13960</v>
      </c>
      <c r="J400" s="342">
        <v>35.9</v>
      </c>
      <c r="K400" s="357">
        <f t="shared" si="19"/>
        <v>388.857938718663</v>
      </c>
      <c r="L400" s="476">
        <v>60</v>
      </c>
      <c r="M400" s="343">
        <f t="shared" si="20"/>
        <v>232.66666666666666</v>
      </c>
      <c r="N400" s="344">
        <f ca="1" t="shared" si="18"/>
        <v>154</v>
      </c>
      <c r="O400" s="358">
        <v>1</v>
      </c>
      <c r="P400" s="340" t="s">
        <v>422</v>
      </c>
    </row>
    <row r="401" spans="2:16" ht="39.75" customHeight="1">
      <c r="B401" s="25">
        <v>39959</v>
      </c>
      <c r="C401" s="340" t="s">
        <v>326</v>
      </c>
      <c r="D401" s="2" t="s">
        <v>1161</v>
      </c>
      <c r="E401" s="26" t="s">
        <v>140</v>
      </c>
      <c r="F401" s="2" t="s">
        <v>42</v>
      </c>
      <c r="G401" s="2" t="s">
        <v>821</v>
      </c>
      <c r="H401" s="2" t="s">
        <v>313</v>
      </c>
      <c r="I401" s="356">
        <v>2327</v>
      </c>
      <c r="J401" s="342">
        <v>35.9</v>
      </c>
      <c r="K401" s="357">
        <f t="shared" si="19"/>
        <v>64.81894150417827</v>
      </c>
      <c r="L401" s="476">
        <v>60</v>
      </c>
      <c r="M401" s="343">
        <f t="shared" si="20"/>
        <v>38.78333333333333</v>
      </c>
      <c r="N401" s="344">
        <f ca="1" t="shared" si="18"/>
        <v>154</v>
      </c>
      <c r="O401" s="358">
        <v>1</v>
      </c>
      <c r="P401" s="340" t="s">
        <v>422</v>
      </c>
    </row>
    <row r="402" spans="2:16" ht="39.75" customHeight="1">
      <c r="B402" s="25">
        <v>39959</v>
      </c>
      <c r="C402" s="340" t="s">
        <v>326</v>
      </c>
      <c r="D402" s="2" t="s">
        <v>1162</v>
      </c>
      <c r="E402" s="26" t="s">
        <v>140</v>
      </c>
      <c r="F402" s="2" t="s">
        <v>42</v>
      </c>
      <c r="G402" s="2" t="s">
        <v>821</v>
      </c>
      <c r="H402" s="2" t="s">
        <v>313</v>
      </c>
      <c r="I402" s="356">
        <v>2327</v>
      </c>
      <c r="J402" s="342">
        <v>35.9</v>
      </c>
      <c r="K402" s="357">
        <f t="shared" si="19"/>
        <v>64.81894150417827</v>
      </c>
      <c r="L402" s="476">
        <v>60</v>
      </c>
      <c r="M402" s="343">
        <f t="shared" si="20"/>
        <v>38.78333333333333</v>
      </c>
      <c r="N402" s="344">
        <f ca="1" t="shared" si="18"/>
        <v>154</v>
      </c>
      <c r="O402" s="358">
        <v>1</v>
      </c>
      <c r="P402" s="340" t="s">
        <v>422</v>
      </c>
    </row>
    <row r="403" spans="2:16" ht="39.75" customHeight="1">
      <c r="B403" s="25">
        <v>39959</v>
      </c>
      <c r="C403" s="340" t="s">
        <v>326</v>
      </c>
      <c r="D403" s="2" t="s">
        <v>1163</v>
      </c>
      <c r="E403" s="26" t="s">
        <v>425</v>
      </c>
      <c r="F403" s="2" t="s">
        <v>42</v>
      </c>
      <c r="G403" s="2" t="s">
        <v>821</v>
      </c>
      <c r="H403" s="2" t="s">
        <v>313</v>
      </c>
      <c r="I403" s="356">
        <v>18900</v>
      </c>
      <c r="J403" s="342">
        <v>35.9</v>
      </c>
      <c r="K403" s="357">
        <f t="shared" si="19"/>
        <v>526.4623955431755</v>
      </c>
      <c r="L403" s="476">
        <v>60</v>
      </c>
      <c r="M403" s="343">
        <f t="shared" si="20"/>
        <v>315</v>
      </c>
      <c r="N403" s="344">
        <f ca="1" t="shared" si="18"/>
        <v>154</v>
      </c>
      <c r="O403" s="358">
        <v>1</v>
      </c>
      <c r="P403" s="340" t="s">
        <v>422</v>
      </c>
    </row>
    <row r="404" spans="2:16" ht="39.75" customHeight="1">
      <c r="B404" s="25">
        <v>39959</v>
      </c>
      <c r="C404" s="340" t="s">
        <v>326</v>
      </c>
      <c r="D404" s="2" t="s">
        <v>1164</v>
      </c>
      <c r="E404" s="26" t="s">
        <v>169</v>
      </c>
      <c r="F404" s="2" t="s">
        <v>42</v>
      </c>
      <c r="G404" s="2" t="s">
        <v>821</v>
      </c>
      <c r="H404" s="2" t="s">
        <v>313</v>
      </c>
      <c r="I404" s="356">
        <v>14900</v>
      </c>
      <c r="J404" s="342">
        <v>35.9</v>
      </c>
      <c r="K404" s="357">
        <f t="shared" si="19"/>
        <v>415.04178272980505</v>
      </c>
      <c r="L404" s="476">
        <v>60</v>
      </c>
      <c r="M404" s="343">
        <f t="shared" si="20"/>
        <v>248.33333333333334</v>
      </c>
      <c r="N404" s="344">
        <f ca="1" t="shared" si="18"/>
        <v>154</v>
      </c>
      <c r="O404" s="358">
        <v>1</v>
      </c>
      <c r="P404" s="340" t="s">
        <v>422</v>
      </c>
    </row>
    <row r="405" spans="2:16" ht="39.75" customHeight="1">
      <c r="B405" s="25">
        <v>39959</v>
      </c>
      <c r="C405" s="340" t="s">
        <v>326</v>
      </c>
      <c r="D405" s="2" t="s">
        <v>1165</v>
      </c>
      <c r="E405" s="26" t="s">
        <v>1166</v>
      </c>
      <c r="F405" s="2">
        <v>810510</v>
      </c>
      <c r="G405" s="2" t="s">
        <v>821</v>
      </c>
      <c r="H405" s="2" t="s">
        <v>313</v>
      </c>
      <c r="I405" s="356">
        <v>23200</v>
      </c>
      <c r="J405" s="342">
        <v>35.9</v>
      </c>
      <c r="K405" s="357">
        <f t="shared" si="19"/>
        <v>646.2395543175488</v>
      </c>
      <c r="L405" s="476">
        <v>60</v>
      </c>
      <c r="M405" s="343">
        <f t="shared" si="20"/>
        <v>386.6666666666667</v>
      </c>
      <c r="N405" s="344">
        <f ca="1" t="shared" si="18"/>
        <v>154</v>
      </c>
      <c r="O405" s="358">
        <v>1</v>
      </c>
      <c r="P405" s="340" t="s">
        <v>422</v>
      </c>
    </row>
    <row r="406" spans="2:16" ht="39.75" customHeight="1">
      <c r="B406" s="25">
        <v>39959</v>
      </c>
      <c r="C406" s="340" t="s">
        <v>326</v>
      </c>
      <c r="D406" s="2" t="s">
        <v>1168</v>
      </c>
      <c r="E406" s="26" t="s">
        <v>1167</v>
      </c>
      <c r="F406" s="2">
        <v>716312</v>
      </c>
      <c r="G406" s="2" t="s">
        <v>821</v>
      </c>
      <c r="H406" s="2" t="s">
        <v>313</v>
      </c>
      <c r="I406" s="356">
        <v>25200</v>
      </c>
      <c r="J406" s="342">
        <v>35.9</v>
      </c>
      <c r="K406" s="357">
        <f t="shared" si="19"/>
        <v>701.949860724234</v>
      </c>
      <c r="L406" s="476">
        <v>60</v>
      </c>
      <c r="M406" s="343">
        <f t="shared" si="20"/>
        <v>420</v>
      </c>
      <c r="N406" s="344">
        <f ca="1" t="shared" si="18"/>
        <v>154</v>
      </c>
      <c r="O406" s="358">
        <v>1</v>
      </c>
      <c r="P406" s="340" t="s">
        <v>422</v>
      </c>
    </row>
    <row r="407" spans="2:16" ht="39.75" customHeight="1">
      <c r="B407" s="25">
        <v>39959</v>
      </c>
      <c r="C407" s="340" t="s">
        <v>326</v>
      </c>
      <c r="D407" s="2" t="s">
        <v>1169</v>
      </c>
      <c r="E407" s="26" t="s">
        <v>1167</v>
      </c>
      <c r="F407" s="2">
        <v>716354</v>
      </c>
      <c r="G407" s="2" t="s">
        <v>821</v>
      </c>
      <c r="H407" s="2" t="s">
        <v>313</v>
      </c>
      <c r="I407" s="356">
        <v>25200</v>
      </c>
      <c r="J407" s="342">
        <v>35.9</v>
      </c>
      <c r="K407" s="357">
        <f t="shared" si="19"/>
        <v>701.949860724234</v>
      </c>
      <c r="L407" s="476">
        <v>60</v>
      </c>
      <c r="M407" s="343">
        <f t="shared" si="20"/>
        <v>420</v>
      </c>
      <c r="N407" s="344">
        <f ca="1" t="shared" si="18"/>
        <v>154</v>
      </c>
      <c r="O407" s="358">
        <v>1</v>
      </c>
      <c r="P407" s="340" t="s">
        <v>422</v>
      </c>
    </row>
    <row r="408" spans="2:16" ht="39.75" customHeight="1">
      <c r="B408" s="25">
        <v>39960</v>
      </c>
      <c r="C408" s="340" t="s">
        <v>302</v>
      </c>
      <c r="D408" s="2" t="s">
        <v>1823</v>
      </c>
      <c r="E408" s="26" t="s">
        <v>296</v>
      </c>
      <c r="F408" s="2" t="s">
        <v>297</v>
      </c>
      <c r="G408" s="2" t="s">
        <v>821</v>
      </c>
      <c r="H408" s="2" t="s">
        <v>753</v>
      </c>
      <c r="I408" s="356">
        <v>24694.39</v>
      </c>
      <c r="J408" s="342">
        <v>35.65</v>
      </c>
      <c r="K408" s="357">
        <f t="shared" si="19"/>
        <v>692.6897615708275</v>
      </c>
      <c r="L408" s="476">
        <v>60</v>
      </c>
      <c r="M408" s="343">
        <f t="shared" si="20"/>
        <v>411.5731666666667</v>
      </c>
      <c r="N408" s="344">
        <f ca="1" t="shared" si="18"/>
        <v>154</v>
      </c>
      <c r="O408" s="358">
        <v>1</v>
      </c>
      <c r="P408" s="340" t="s">
        <v>46</v>
      </c>
    </row>
    <row r="409" spans="2:16" ht="39.75" customHeight="1">
      <c r="B409" s="25">
        <v>39960</v>
      </c>
      <c r="C409" s="340" t="s">
        <v>303</v>
      </c>
      <c r="D409" s="2" t="s">
        <v>1822</v>
      </c>
      <c r="E409" s="26" t="s">
        <v>416</v>
      </c>
      <c r="F409" s="2" t="s">
        <v>42</v>
      </c>
      <c r="G409" s="2" t="s">
        <v>821</v>
      </c>
      <c r="H409" s="2" t="s">
        <v>753</v>
      </c>
      <c r="I409" s="356">
        <v>1829.8</v>
      </c>
      <c r="J409" s="342">
        <v>35.65</v>
      </c>
      <c r="K409" s="357">
        <f t="shared" si="19"/>
        <v>51.32678821879383</v>
      </c>
      <c r="L409" s="476">
        <v>60</v>
      </c>
      <c r="M409" s="343">
        <f t="shared" si="20"/>
        <v>30.496666666666666</v>
      </c>
      <c r="N409" s="344">
        <f ca="1" t="shared" si="18"/>
        <v>154</v>
      </c>
      <c r="O409" s="358">
        <v>1</v>
      </c>
      <c r="P409" s="340" t="s">
        <v>46</v>
      </c>
    </row>
    <row r="410" spans="2:16" ht="39.75" customHeight="1">
      <c r="B410" s="25">
        <v>39960</v>
      </c>
      <c r="C410" s="340" t="s">
        <v>303</v>
      </c>
      <c r="D410" s="2" t="s">
        <v>1821</v>
      </c>
      <c r="E410" s="26" t="s">
        <v>298</v>
      </c>
      <c r="F410" s="2" t="s">
        <v>42</v>
      </c>
      <c r="G410" s="2" t="s">
        <v>821</v>
      </c>
      <c r="H410" s="2" t="s">
        <v>753</v>
      </c>
      <c r="I410" s="356">
        <v>1830.1000000000001</v>
      </c>
      <c r="J410" s="342">
        <v>35.65</v>
      </c>
      <c r="K410" s="357">
        <f t="shared" si="19"/>
        <v>51.33520336605891</v>
      </c>
      <c r="L410" s="476">
        <v>60</v>
      </c>
      <c r="M410" s="343">
        <f t="shared" si="20"/>
        <v>30.50166666666667</v>
      </c>
      <c r="N410" s="344">
        <f ca="1" t="shared" si="18"/>
        <v>154</v>
      </c>
      <c r="O410" s="358">
        <v>1</v>
      </c>
      <c r="P410" s="340" t="s">
        <v>46</v>
      </c>
    </row>
    <row r="411" spans="2:16" ht="39.75" customHeight="1">
      <c r="B411" s="25">
        <v>39962</v>
      </c>
      <c r="C411" s="340" t="s">
        <v>270</v>
      </c>
      <c r="D411" s="2" t="s">
        <v>1459</v>
      </c>
      <c r="E411" s="26" t="s">
        <v>384</v>
      </c>
      <c r="F411" s="2" t="s">
        <v>42</v>
      </c>
      <c r="G411" s="2" t="s">
        <v>1865</v>
      </c>
      <c r="H411" s="2" t="s">
        <v>402</v>
      </c>
      <c r="I411" s="356">
        <v>3596.871863908946</v>
      </c>
      <c r="J411" s="342">
        <v>35.9</v>
      </c>
      <c r="K411" s="357">
        <f t="shared" si="19"/>
        <v>100.19141682197622</v>
      </c>
      <c r="L411" s="476">
        <v>60</v>
      </c>
      <c r="M411" s="343">
        <f t="shared" si="20"/>
        <v>59.94786439848244</v>
      </c>
      <c r="N411" s="344">
        <f ca="1" t="shared" si="18"/>
        <v>153</v>
      </c>
      <c r="O411" s="358">
        <v>1</v>
      </c>
      <c r="P411" s="340" t="s">
        <v>385</v>
      </c>
    </row>
    <row r="412" spans="2:16" ht="39.75" customHeight="1">
      <c r="B412" s="25">
        <v>39962</v>
      </c>
      <c r="C412" s="340" t="s">
        <v>270</v>
      </c>
      <c r="D412" s="2" t="s">
        <v>1460</v>
      </c>
      <c r="E412" s="26" t="s">
        <v>388</v>
      </c>
      <c r="F412" s="2" t="s">
        <v>42</v>
      </c>
      <c r="G412" s="2" t="s">
        <v>1865</v>
      </c>
      <c r="H412" s="2" t="s">
        <v>402</v>
      </c>
      <c r="I412" s="356">
        <v>5417.510708603598</v>
      </c>
      <c r="J412" s="342">
        <v>35.9</v>
      </c>
      <c r="K412" s="357">
        <f t="shared" si="19"/>
        <v>150.90559076890244</v>
      </c>
      <c r="L412" s="476">
        <v>60</v>
      </c>
      <c r="M412" s="343">
        <f t="shared" si="20"/>
        <v>90.2918451433933</v>
      </c>
      <c r="N412" s="344">
        <f ca="1" t="shared" si="18"/>
        <v>153</v>
      </c>
      <c r="O412" s="358">
        <v>1</v>
      </c>
      <c r="P412" s="340" t="s">
        <v>385</v>
      </c>
    </row>
    <row r="413" spans="2:16" ht="39.75" customHeight="1">
      <c r="B413" s="25">
        <v>39962</v>
      </c>
      <c r="C413" s="340" t="s">
        <v>270</v>
      </c>
      <c r="D413" s="2" t="s">
        <v>1461</v>
      </c>
      <c r="E413" s="26" t="s">
        <v>529</v>
      </c>
      <c r="F413" s="2" t="s">
        <v>42</v>
      </c>
      <c r="G413" s="2" t="s">
        <v>1865</v>
      </c>
      <c r="H413" s="2" t="s">
        <v>402</v>
      </c>
      <c r="I413" s="356">
        <v>932.5223350875046</v>
      </c>
      <c r="J413" s="342">
        <v>35.9</v>
      </c>
      <c r="K413" s="357">
        <f t="shared" si="19"/>
        <v>25.975552509401243</v>
      </c>
      <c r="L413" s="476">
        <v>60</v>
      </c>
      <c r="M413" s="343">
        <f t="shared" si="20"/>
        <v>15.542038918125078</v>
      </c>
      <c r="N413" s="344">
        <f ca="1" t="shared" si="18"/>
        <v>153</v>
      </c>
      <c r="O413" s="358">
        <v>1</v>
      </c>
      <c r="P413" s="340" t="s">
        <v>385</v>
      </c>
    </row>
    <row r="414" spans="2:16" ht="39.75" customHeight="1">
      <c r="B414" s="25">
        <v>39962</v>
      </c>
      <c r="C414" s="340" t="s">
        <v>270</v>
      </c>
      <c r="D414" s="2" t="s">
        <v>1462</v>
      </c>
      <c r="E414" s="26" t="s">
        <v>529</v>
      </c>
      <c r="F414" s="2" t="s">
        <v>42</v>
      </c>
      <c r="G414" s="2" t="s">
        <v>1865</v>
      </c>
      <c r="H414" s="2" t="s">
        <v>402</v>
      </c>
      <c r="I414" s="356">
        <v>932.5223350875046</v>
      </c>
      <c r="J414" s="342">
        <v>35.9</v>
      </c>
      <c r="K414" s="357">
        <f t="shared" si="19"/>
        <v>25.975552509401243</v>
      </c>
      <c r="L414" s="476">
        <v>60</v>
      </c>
      <c r="M414" s="343">
        <f t="shared" si="20"/>
        <v>15.542038918125078</v>
      </c>
      <c r="N414" s="344">
        <f ca="1" t="shared" si="18"/>
        <v>153</v>
      </c>
      <c r="O414" s="358">
        <v>1</v>
      </c>
      <c r="P414" s="340" t="s">
        <v>385</v>
      </c>
    </row>
    <row r="415" spans="2:16" s="380" customFormat="1" ht="39.75" customHeight="1">
      <c r="B415" s="369">
        <v>39962</v>
      </c>
      <c r="C415" s="377" t="s">
        <v>267</v>
      </c>
      <c r="D415" s="290" t="s">
        <v>1513</v>
      </c>
      <c r="E415" s="293" t="s">
        <v>392</v>
      </c>
      <c r="F415" s="290" t="s">
        <v>42</v>
      </c>
      <c r="G415" s="290" t="s">
        <v>1869</v>
      </c>
      <c r="H415" s="290" t="s">
        <v>409</v>
      </c>
      <c r="I415" s="378">
        <v>5400</v>
      </c>
      <c r="J415" s="342">
        <v>35.9</v>
      </c>
      <c r="K415" s="357">
        <f t="shared" si="19"/>
        <v>150.41782729805016</v>
      </c>
      <c r="L415" s="478">
        <v>60</v>
      </c>
      <c r="M415" s="343">
        <f t="shared" si="20"/>
        <v>90</v>
      </c>
      <c r="N415" s="344">
        <f ca="1" t="shared" si="18"/>
        <v>153</v>
      </c>
      <c r="O415" s="379">
        <v>1</v>
      </c>
      <c r="P415" s="340" t="s">
        <v>422</v>
      </c>
    </row>
    <row r="416" spans="2:16" ht="39.75" customHeight="1">
      <c r="B416" s="25">
        <v>39962</v>
      </c>
      <c r="C416" s="340" t="s">
        <v>270</v>
      </c>
      <c r="D416" s="2" t="s">
        <v>1492</v>
      </c>
      <c r="E416" s="26" t="s">
        <v>384</v>
      </c>
      <c r="F416" s="2" t="s">
        <v>42</v>
      </c>
      <c r="G416" s="2" t="s">
        <v>1869</v>
      </c>
      <c r="H416" s="2" t="s">
        <v>409</v>
      </c>
      <c r="I416" s="356">
        <v>3596.871863908946</v>
      </c>
      <c r="J416" s="342">
        <v>35.9</v>
      </c>
      <c r="K416" s="357">
        <f t="shared" si="19"/>
        <v>100.19141682197622</v>
      </c>
      <c r="L416" s="476">
        <v>60</v>
      </c>
      <c r="M416" s="343">
        <f t="shared" si="20"/>
        <v>59.94786439848244</v>
      </c>
      <c r="N416" s="344">
        <f ca="1" t="shared" si="18"/>
        <v>153</v>
      </c>
      <c r="O416" s="358">
        <v>1</v>
      </c>
      <c r="P416" s="340" t="s">
        <v>385</v>
      </c>
    </row>
    <row r="417" spans="2:16" ht="39.75" customHeight="1">
      <c r="B417" s="25">
        <v>39962</v>
      </c>
      <c r="C417" s="340" t="s">
        <v>270</v>
      </c>
      <c r="D417" s="2" t="s">
        <v>1494</v>
      </c>
      <c r="E417" s="26" t="s">
        <v>388</v>
      </c>
      <c r="F417" s="2" t="s">
        <v>42</v>
      </c>
      <c r="G417" s="2" t="s">
        <v>1869</v>
      </c>
      <c r="H417" s="2" t="s">
        <v>409</v>
      </c>
      <c r="I417" s="356">
        <v>5417.510708603598</v>
      </c>
      <c r="J417" s="342">
        <v>35.9</v>
      </c>
      <c r="K417" s="357">
        <f t="shared" si="19"/>
        <v>150.90559076890244</v>
      </c>
      <c r="L417" s="476">
        <v>60</v>
      </c>
      <c r="M417" s="343">
        <f t="shared" si="20"/>
        <v>90.2918451433933</v>
      </c>
      <c r="N417" s="344">
        <f ca="1" t="shared" si="18"/>
        <v>153</v>
      </c>
      <c r="O417" s="358">
        <v>1</v>
      </c>
      <c r="P417" s="340" t="s">
        <v>385</v>
      </c>
    </row>
    <row r="418" spans="2:16" ht="39.75" customHeight="1">
      <c r="B418" s="25">
        <v>39962</v>
      </c>
      <c r="C418" s="340" t="s">
        <v>270</v>
      </c>
      <c r="D418" s="2" t="s">
        <v>1495</v>
      </c>
      <c r="E418" s="26" t="s">
        <v>529</v>
      </c>
      <c r="F418" s="2" t="s">
        <v>42</v>
      </c>
      <c r="G418" s="2" t="s">
        <v>1869</v>
      </c>
      <c r="H418" s="2" t="s">
        <v>409</v>
      </c>
      <c r="I418" s="356">
        <v>932.5223350875046</v>
      </c>
      <c r="J418" s="342">
        <v>35.9</v>
      </c>
      <c r="K418" s="357">
        <f t="shared" si="19"/>
        <v>25.975552509401243</v>
      </c>
      <c r="L418" s="476">
        <v>60</v>
      </c>
      <c r="M418" s="343">
        <f t="shared" si="20"/>
        <v>15.542038918125078</v>
      </c>
      <c r="N418" s="344">
        <f ca="1" t="shared" si="18"/>
        <v>153</v>
      </c>
      <c r="O418" s="358">
        <v>1</v>
      </c>
      <c r="P418" s="340" t="s">
        <v>385</v>
      </c>
    </row>
    <row r="419" spans="2:16" ht="39.75" customHeight="1">
      <c r="B419" s="25">
        <v>39962</v>
      </c>
      <c r="C419" s="340" t="s">
        <v>270</v>
      </c>
      <c r="D419" s="2" t="s">
        <v>1496</v>
      </c>
      <c r="E419" s="26" t="s">
        <v>529</v>
      </c>
      <c r="F419" s="2" t="s">
        <v>42</v>
      </c>
      <c r="G419" s="2" t="s">
        <v>1869</v>
      </c>
      <c r="H419" s="2" t="s">
        <v>409</v>
      </c>
      <c r="I419" s="356">
        <v>932.5223350875046</v>
      </c>
      <c r="J419" s="342">
        <v>35.9</v>
      </c>
      <c r="K419" s="357">
        <f t="shared" si="19"/>
        <v>25.975552509401243</v>
      </c>
      <c r="L419" s="476">
        <v>60</v>
      </c>
      <c r="M419" s="343">
        <f t="shared" si="20"/>
        <v>15.542038918125078</v>
      </c>
      <c r="N419" s="344">
        <f ca="1" t="shared" si="18"/>
        <v>153</v>
      </c>
      <c r="O419" s="358">
        <v>1</v>
      </c>
      <c r="P419" s="340" t="s">
        <v>385</v>
      </c>
    </row>
    <row r="420" spans="2:16" ht="39.75" customHeight="1">
      <c r="B420" s="25">
        <v>39962</v>
      </c>
      <c r="C420" s="340" t="s">
        <v>270</v>
      </c>
      <c r="D420" s="2" t="s">
        <v>1497</v>
      </c>
      <c r="E420" s="26" t="s">
        <v>529</v>
      </c>
      <c r="F420" s="2" t="s">
        <v>42</v>
      </c>
      <c r="G420" s="2" t="s">
        <v>1869</v>
      </c>
      <c r="H420" s="2" t="s">
        <v>409</v>
      </c>
      <c r="I420" s="356">
        <v>932.5223350875046</v>
      </c>
      <c r="J420" s="342">
        <v>35.9</v>
      </c>
      <c r="K420" s="357">
        <f t="shared" si="19"/>
        <v>25.975552509401243</v>
      </c>
      <c r="L420" s="476">
        <v>60</v>
      </c>
      <c r="M420" s="343">
        <f t="shared" si="20"/>
        <v>15.542038918125078</v>
      </c>
      <c r="N420" s="344">
        <f ca="1" t="shared" si="18"/>
        <v>153</v>
      </c>
      <c r="O420" s="358">
        <v>1</v>
      </c>
      <c r="P420" s="340" t="s">
        <v>385</v>
      </c>
    </row>
    <row r="421" spans="2:16" ht="39.75" customHeight="1">
      <c r="B421" s="25">
        <v>39962</v>
      </c>
      <c r="C421" s="340" t="s">
        <v>270</v>
      </c>
      <c r="D421" s="2" t="s">
        <v>1498</v>
      </c>
      <c r="E421" s="26" t="s">
        <v>529</v>
      </c>
      <c r="F421" s="2" t="s">
        <v>42</v>
      </c>
      <c r="G421" s="2" t="s">
        <v>1869</v>
      </c>
      <c r="H421" s="2" t="s">
        <v>409</v>
      </c>
      <c r="I421" s="356">
        <v>932.5223350875046</v>
      </c>
      <c r="J421" s="342">
        <v>35.9</v>
      </c>
      <c r="K421" s="357">
        <f t="shared" si="19"/>
        <v>25.975552509401243</v>
      </c>
      <c r="L421" s="476">
        <v>60</v>
      </c>
      <c r="M421" s="343">
        <f t="shared" si="20"/>
        <v>15.542038918125078</v>
      </c>
      <c r="N421" s="344">
        <f ca="1" t="shared" si="18"/>
        <v>153</v>
      </c>
      <c r="O421" s="358">
        <v>1</v>
      </c>
      <c r="P421" s="340" t="s">
        <v>385</v>
      </c>
    </row>
    <row r="422" spans="2:16" ht="39.75" customHeight="1">
      <c r="B422" s="25">
        <v>39962</v>
      </c>
      <c r="C422" s="340" t="s">
        <v>270</v>
      </c>
      <c r="D422" s="2" t="s">
        <v>1499</v>
      </c>
      <c r="E422" s="26" t="s">
        <v>529</v>
      </c>
      <c r="F422" s="2" t="s">
        <v>42</v>
      </c>
      <c r="G422" s="2" t="s">
        <v>1869</v>
      </c>
      <c r="H422" s="2" t="s">
        <v>409</v>
      </c>
      <c r="I422" s="356">
        <v>932.5223350875046</v>
      </c>
      <c r="J422" s="342">
        <v>35.9</v>
      </c>
      <c r="K422" s="357">
        <f t="shared" si="19"/>
        <v>25.975552509401243</v>
      </c>
      <c r="L422" s="476">
        <v>60</v>
      </c>
      <c r="M422" s="343">
        <f t="shared" si="20"/>
        <v>15.542038918125078</v>
      </c>
      <c r="N422" s="344">
        <f ca="1" t="shared" si="18"/>
        <v>153</v>
      </c>
      <c r="O422" s="358">
        <v>1</v>
      </c>
      <c r="P422" s="340" t="s">
        <v>385</v>
      </c>
    </row>
    <row r="423" spans="2:16" ht="39.75" customHeight="1">
      <c r="B423" s="25">
        <v>39962</v>
      </c>
      <c r="C423" s="340" t="s">
        <v>270</v>
      </c>
      <c r="D423" s="2" t="s">
        <v>1500</v>
      </c>
      <c r="E423" s="26" t="s">
        <v>529</v>
      </c>
      <c r="F423" s="2" t="s">
        <v>42</v>
      </c>
      <c r="G423" s="2" t="s">
        <v>1869</v>
      </c>
      <c r="H423" s="2" t="s">
        <v>409</v>
      </c>
      <c r="I423" s="356">
        <v>932.5223350875046</v>
      </c>
      <c r="J423" s="342">
        <v>35.9</v>
      </c>
      <c r="K423" s="357">
        <f t="shared" si="19"/>
        <v>25.975552509401243</v>
      </c>
      <c r="L423" s="476">
        <v>60</v>
      </c>
      <c r="M423" s="343">
        <f t="shared" si="20"/>
        <v>15.542038918125078</v>
      </c>
      <c r="N423" s="344">
        <f ca="1" t="shared" si="18"/>
        <v>153</v>
      </c>
      <c r="O423" s="358">
        <v>1</v>
      </c>
      <c r="P423" s="340" t="s">
        <v>385</v>
      </c>
    </row>
    <row r="424" spans="2:16" ht="39.75" customHeight="1">
      <c r="B424" s="25">
        <v>39962</v>
      </c>
      <c r="C424" s="340" t="s">
        <v>270</v>
      </c>
      <c r="D424" s="2" t="s">
        <v>1501</v>
      </c>
      <c r="E424" s="26" t="s">
        <v>529</v>
      </c>
      <c r="F424" s="2" t="s">
        <v>42</v>
      </c>
      <c r="G424" s="2" t="s">
        <v>1869</v>
      </c>
      <c r="H424" s="2" t="s">
        <v>409</v>
      </c>
      <c r="I424" s="356">
        <v>932.5223350875046</v>
      </c>
      <c r="J424" s="342">
        <v>35.9</v>
      </c>
      <c r="K424" s="357">
        <f t="shared" si="19"/>
        <v>25.975552509401243</v>
      </c>
      <c r="L424" s="476">
        <v>60</v>
      </c>
      <c r="M424" s="343">
        <f t="shared" si="20"/>
        <v>15.542038918125078</v>
      </c>
      <c r="N424" s="344">
        <f ca="1" t="shared" si="18"/>
        <v>153</v>
      </c>
      <c r="O424" s="358">
        <v>1</v>
      </c>
      <c r="P424" s="340" t="s">
        <v>385</v>
      </c>
    </row>
    <row r="425" spans="2:16" ht="39.75" customHeight="1">
      <c r="B425" s="25">
        <v>39962</v>
      </c>
      <c r="C425" s="340" t="s">
        <v>270</v>
      </c>
      <c r="D425" s="2" t="s">
        <v>1502</v>
      </c>
      <c r="E425" s="26" t="s">
        <v>529</v>
      </c>
      <c r="F425" s="2" t="s">
        <v>42</v>
      </c>
      <c r="G425" s="2" t="s">
        <v>1869</v>
      </c>
      <c r="H425" s="2" t="s">
        <v>409</v>
      </c>
      <c r="I425" s="356">
        <v>932.5223350875046</v>
      </c>
      <c r="J425" s="342">
        <v>35.9</v>
      </c>
      <c r="K425" s="357">
        <f t="shared" si="19"/>
        <v>25.975552509401243</v>
      </c>
      <c r="L425" s="476">
        <v>60</v>
      </c>
      <c r="M425" s="343">
        <f t="shared" si="20"/>
        <v>15.542038918125078</v>
      </c>
      <c r="N425" s="344">
        <f ca="1" t="shared" si="18"/>
        <v>153</v>
      </c>
      <c r="O425" s="358">
        <v>1</v>
      </c>
      <c r="P425" s="340" t="s">
        <v>385</v>
      </c>
    </row>
    <row r="426" spans="2:16" ht="39.75" customHeight="1">
      <c r="B426" s="25">
        <v>39962</v>
      </c>
      <c r="C426" s="340" t="s">
        <v>270</v>
      </c>
      <c r="D426" s="2" t="s">
        <v>1504</v>
      </c>
      <c r="E426" s="26" t="s">
        <v>529</v>
      </c>
      <c r="F426" s="2" t="s">
        <v>42</v>
      </c>
      <c r="G426" s="2" t="s">
        <v>1869</v>
      </c>
      <c r="H426" s="2" t="s">
        <v>409</v>
      </c>
      <c r="I426" s="356">
        <v>932.5223350875046</v>
      </c>
      <c r="J426" s="342">
        <v>35.9</v>
      </c>
      <c r="K426" s="357">
        <f t="shared" si="19"/>
        <v>25.975552509401243</v>
      </c>
      <c r="L426" s="476">
        <v>60</v>
      </c>
      <c r="M426" s="343">
        <f t="shared" si="20"/>
        <v>15.542038918125078</v>
      </c>
      <c r="N426" s="344">
        <f ca="1" t="shared" si="18"/>
        <v>153</v>
      </c>
      <c r="O426" s="358">
        <v>1</v>
      </c>
      <c r="P426" s="340" t="s">
        <v>385</v>
      </c>
    </row>
    <row r="427" spans="2:16" ht="39.75" customHeight="1">
      <c r="B427" s="25">
        <v>39962</v>
      </c>
      <c r="C427" s="340" t="s">
        <v>267</v>
      </c>
      <c r="D427" s="2" t="s">
        <v>1379</v>
      </c>
      <c r="E427" s="26" t="s">
        <v>392</v>
      </c>
      <c r="F427" s="2" t="s">
        <v>42</v>
      </c>
      <c r="G427" s="362" t="s">
        <v>1843</v>
      </c>
      <c r="H427" s="2" t="s">
        <v>813</v>
      </c>
      <c r="I427" s="356">
        <v>5400</v>
      </c>
      <c r="J427" s="342">
        <v>35.9</v>
      </c>
      <c r="K427" s="357">
        <f t="shared" si="19"/>
        <v>150.41782729805016</v>
      </c>
      <c r="L427" s="476">
        <v>60</v>
      </c>
      <c r="M427" s="343">
        <f t="shared" si="20"/>
        <v>90</v>
      </c>
      <c r="N427" s="344">
        <f ca="1" t="shared" si="18"/>
        <v>153</v>
      </c>
      <c r="O427" s="358">
        <v>1</v>
      </c>
      <c r="P427" s="340" t="s">
        <v>385</v>
      </c>
    </row>
    <row r="428" spans="2:16" ht="39.75" customHeight="1">
      <c r="B428" s="25">
        <v>39962</v>
      </c>
      <c r="C428" s="340" t="s">
        <v>3709</v>
      </c>
      <c r="D428" s="2" t="s">
        <v>1789</v>
      </c>
      <c r="E428" s="26" t="s">
        <v>529</v>
      </c>
      <c r="F428" s="2" t="s">
        <v>42</v>
      </c>
      <c r="G428" s="2" t="s">
        <v>1861</v>
      </c>
      <c r="H428" s="2" t="s">
        <v>19</v>
      </c>
      <c r="I428" s="356">
        <v>932.5223350875046</v>
      </c>
      <c r="J428" s="342">
        <v>35.9</v>
      </c>
      <c r="K428" s="357">
        <f t="shared" si="19"/>
        <v>25.975552509401243</v>
      </c>
      <c r="L428" s="476">
        <v>60</v>
      </c>
      <c r="M428" s="343">
        <f t="shared" si="20"/>
        <v>15.542038918125078</v>
      </c>
      <c r="N428" s="344">
        <f ca="1" t="shared" si="18"/>
        <v>153</v>
      </c>
      <c r="O428" s="358">
        <v>1</v>
      </c>
      <c r="P428" s="340" t="s">
        <v>385</v>
      </c>
    </row>
    <row r="429" spans="2:16" ht="39.75" customHeight="1">
      <c r="B429" s="25">
        <v>39962</v>
      </c>
      <c r="C429" s="340" t="s">
        <v>3709</v>
      </c>
      <c r="D429" s="2" t="s">
        <v>1479</v>
      </c>
      <c r="E429" s="26" t="s">
        <v>529</v>
      </c>
      <c r="F429" s="2" t="s">
        <v>42</v>
      </c>
      <c r="G429" s="2" t="s">
        <v>1861</v>
      </c>
      <c r="H429" s="2" t="s">
        <v>19</v>
      </c>
      <c r="I429" s="356">
        <v>932.5223350875046</v>
      </c>
      <c r="J429" s="342">
        <v>35.9</v>
      </c>
      <c r="K429" s="357">
        <f t="shared" si="19"/>
        <v>25.975552509401243</v>
      </c>
      <c r="L429" s="476">
        <v>60</v>
      </c>
      <c r="M429" s="343">
        <f t="shared" si="20"/>
        <v>15.542038918125078</v>
      </c>
      <c r="N429" s="344">
        <f ca="1" t="shared" si="18"/>
        <v>153</v>
      </c>
      <c r="O429" s="358">
        <v>1</v>
      </c>
      <c r="P429" s="340" t="s">
        <v>385</v>
      </c>
    </row>
    <row r="430" spans="2:16" ht="39.75" customHeight="1">
      <c r="B430" s="25">
        <v>39962</v>
      </c>
      <c r="C430" s="340" t="s">
        <v>3709</v>
      </c>
      <c r="D430" s="2" t="s">
        <v>3018</v>
      </c>
      <c r="E430" s="26" t="s">
        <v>384</v>
      </c>
      <c r="F430" s="2" t="s">
        <v>42</v>
      </c>
      <c r="G430" s="2" t="s">
        <v>3649</v>
      </c>
      <c r="H430" s="2" t="s">
        <v>3015</v>
      </c>
      <c r="I430" s="356">
        <v>3596.871863908946</v>
      </c>
      <c r="J430" s="342">
        <v>35.9</v>
      </c>
      <c r="K430" s="357">
        <f t="shared" si="19"/>
        <v>100.19141682197622</v>
      </c>
      <c r="L430" s="476">
        <v>60</v>
      </c>
      <c r="M430" s="343">
        <f t="shared" si="20"/>
        <v>59.94786439848244</v>
      </c>
      <c r="N430" s="344">
        <f ca="1" t="shared" si="18"/>
        <v>153</v>
      </c>
      <c r="O430" s="358">
        <v>1</v>
      </c>
      <c r="P430" s="340" t="s">
        <v>385</v>
      </c>
    </row>
    <row r="431" spans="2:16" ht="39.75" customHeight="1">
      <c r="B431" s="25">
        <v>39962</v>
      </c>
      <c r="C431" s="340" t="s">
        <v>270</v>
      </c>
      <c r="D431" s="2" t="s">
        <v>3017</v>
      </c>
      <c r="E431" s="26" t="s">
        <v>388</v>
      </c>
      <c r="F431" s="2" t="s">
        <v>42</v>
      </c>
      <c r="G431" s="2" t="s">
        <v>3649</v>
      </c>
      <c r="H431" s="2" t="s">
        <v>3015</v>
      </c>
      <c r="I431" s="356">
        <v>5417.510708603598</v>
      </c>
      <c r="J431" s="342">
        <v>35.9</v>
      </c>
      <c r="K431" s="357">
        <f t="shared" si="19"/>
        <v>150.90559076890244</v>
      </c>
      <c r="L431" s="476">
        <v>60</v>
      </c>
      <c r="M431" s="343">
        <f t="shared" si="20"/>
        <v>90.2918451433933</v>
      </c>
      <c r="N431" s="344">
        <f ca="1" t="shared" si="18"/>
        <v>153</v>
      </c>
      <c r="O431" s="358">
        <v>1</v>
      </c>
      <c r="P431" s="340" t="s">
        <v>385</v>
      </c>
    </row>
    <row r="432" spans="2:16" ht="39.75" customHeight="1">
      <c r="B432" s="25">
        <v>39962</v>
      </c>
      <c r="C432" s="340" t="s">
        <v>270</v>
      </c>
      <c r="D432" s="2" t="s">
        <v>3016</v>
      </c>
      <c r="E432" s="26" t="s">
        <v>529</v>
      </c>
      <c r="F432" s="2" t="s">
        <v>42</v>
      </c>
      <c r="G432" s="2" t="s">
        <v>3649</v>
      </c>
      <c r="H432" s="2" t="s">
        <v>3015</v>
      </c>
      <c r="I432" s="356">
        <v>932.5223350875046</v>
      </c>
      <c r="J432" s="342">
        <v>35.9</v>
      </c>
      <c r="K432" s="357">
        <f t="shared" si="19"/>
        <v>25.975552509401243</v>
      </c>
      <c r="L432" s="476">
        <v>60</v>
      </c>
      <c r="M432" s="343">
        <f t="shared" si="20"/>
        <v>15.542038918125078</v>
      </c>
      <c r="N432" s="344">
        <f ca="1" t="shared" si="18"/>
        <v>153</v>
      </c>
      <c r="O432" s="358">
        <v>1</v>
      </c>
      <c r="P432" s="340" t="s">
        <v>385</v>
      </c>
    </row>
    <row r="433" spans="2:16" ht="39.75" customHeight="1">
      <c r="B433" s="25">
        <v>39962</v>
      </c>
      <c r="C433" s="340" t="s">
        <v>270</v>
      </c>
      <c r="D433" s="2" t="s">
        <v>1365</v>
      </c>
      <c r="E433" s="26" t="s">
        <v>392</v>
      </c>
      <c r="F433" s="2" t="s">
        <v>42</v>
      </c>
      <c r="G433" s="2" t="s">
        <v>1844</v>
      </c>
      <c r="H433" s="2" t="s">
        <v>315</v>
      </c>
      <c r="I433" s="356">
        <v>5400</v>
      </c>
      <c r="J433" s="342">
        <v>35.9</v>
      </c>
      <c r="K433" s="357">
        <f t="shared" si="19"/>
        <v>150.41782729805016</v>
      </c>
      <c r="L433" s="476">
        <v>60</v>
      </c>
      <c r="M433" s="343">
        <f t="shared" si="20"/>
        <v>90</v>
      </c>
      <c r="N433" s="344">
        <f ca="1" t="shared" si="18"/>
        <v>153</v>
      </c>
      <c r="O433" s="358">
        <v>1</v>
      </c>
      <c r="P433" s="340" t="s">
        <v>385</v>
      </c>
    </row>
    <row r="434" spans="2:16" ht="39.75" customHeight="1">
      <c r="B434" s="25">
        <v>39962</v>
      </c>
      <c r="C434" s="340" t="s">
        <v>270</v>
      </c>
      <c r="D434" s="2" t="s">
        <v>1366</v>
      </c>
      <c r="E434" s="26" t="s">
        <v>392</v>
      </c>
      <c r="F434" s="2" t="s">
        <v>42</v>
      </c>
      <c r="G434" s="2" t="s">
        <v>1844</v>
      </c>
      <c r="H434" s="2" t="s">
        <v>315</v>
      </c>
      <c r="I434" s="356">
        <v>5400</v>
      </c>
      <c r="J434" s="342">
        <v>35.9</v>
      </c>
      <c r="K434" s="357">
        <f t="shared" si="19"/>
        <v>150.41782729805016</v>
      </c>
      <c r="L434" s="476">
        <v>60</v>
      </c>
      <c r="M434" s="343">
        <f t="shared" si="20"/>
        <v>90</v>
      </c>
      <c r="N434" s="344">
        <f ca="1" t="shared" si="18"/>
        <v>153</v>
      </c>
      <c r="O434" s="358">
        <v>1</v>
      </c>
      <c r="P434" s="340" t="s">
        <v>385</v>
      </c>
    </row>
    <row r="435" spans="2:16" ht="39.75" customHeight="1">
      <c r="B435" s="25">
        <v>39962</v>
      </c>
      <c r="C435" s="340" t="s">
        <v>270</v>
      </c>
      <c r="D435" s="2" t="s">
        <v>1353</v>
      </c>
      <c r="E435" s="26" t="s">
        <v>384</v>
      </c>
      <c r="F435" s="2" t="s">
        <v>42</v>
      </c>
      <c r="G435" s="2" t="s">
        <v>1844</v>
      </c>
      <c r="H435" s="2" t="s">
        <v>315</v>
      </c>
      <c r="I435" s="356">
        <v>3596.871863908946</v>
      </c>
      <c r="J435" s="342">
        <v>35.9</v>
      </c>
      <c r="K435" s="357">
        <f t="shared" si="19"/>
        <v>100.19141682197622</v>
      </c>
      <c r="L435" s="476">
        <v>60</v>
      </c>
      <c r="M435" s="343">
        <f t="shared" si="20"/>
        <v>59.94786439848244</v>
      </c>
      <c r="N435" s="344">
        <f ca="1" t="shared" si="18"/>
        <v>153</v>
      </c>
      <c r="O435" s="358">
        <v>1</v>
      </c>
      <c r="P435" s="340" t="s">
        <v>385</v>
      </c>
    </row>
    <row r="436" spans="2:16" ht="39.75" customHeight="1">
      <c r="B436" s="25">
        <v>39962</v>
      </c>
      <c r="C436" s="340" t="s">
        <v>270</v>
      </c>
      <c r="D436" s="2" t="s">
        <v>1354</v>
      </c>
      <c r="E436" s="26" t="s">
        <v>384</v>
      </c>
      <c r="F436" s="2" t="s">
        <v>42</v>
      </c>
      <c r="G436" s="2" t="s">
        <v>1844</v>
      </c>
      <c r="H436" s="2" t="s">
        <v>315</v>
      </c>
      <c r="I436" s="356">
        <v>3596.871863908946</v>
      </c>
      <c r="J436" s="342">
        <v>35.9</v>
      </c>
      <c r="K436" s="357">
        <f t="shared" si="19"/>
        <v>100.19141682197622</v>
      </c>
      <c r="L436" s="476">
        <v>60</v>
      </c>
      <c r="M436" s="343">
        <f t="shared" si="20"/>
        <v>59.94786439848244</v>
      </c>
      <c r="N436" s="344">
        <f ca="1" t="shared" si="18"/>
        <v>153</v>
      </c>
      <c r="O436" s="358">
        <v>1</v>
      </c>
      <c r="P436" s="340" t="s">
        <v>385</v>
      </c>
    </row>
    <row r="437" spans="2:16" ht="39.75" customHeight="1">
      <c r="B437" s="25">
        <v>39962</v>
      </c>
      <c r="C437" s="340" t="s">
        <v>270</v>
      </c>
      <c r="D437" s="2" t="s">
        <v>1355</v>
      </c>
      <c r="E437" s="26" t="s">
        <v>384</v>
      </c>
      <c r="F437" s="2" t="s">
        <v>42</v>
      </c>
      <c r="G437" s="2" t="s">
        <v>1844</v>
      </c>
      <c r="H437" s="2" t="s">
        <v>315</v>
      </c>
      <c r="I437" s="356">
        <v>3596.871863908946</v>
      </c>
      <c r="J437" s="342">
        <v>35.9</v>
      </c>
      <c r="K437" s="357">
        <f t="shared" si="19"/>
        <v>100.19141682197622</v>
      </c>
      <c r="L437" s="476">
        <v>60</v>
      </c>
      <c r="M437" s="343">
        <f t="shared" si="20"/>
        <v>59.94786439848244</v>
      </c>
      <c r="N437" s="344">
        <f ca="1" t="shared" si="18"/>
        <v>153</v>
      </c>
      <c r="O437" s="358">
        <v>1</v>
      </c>
      <c r="P437" s="340" t="s">
        <v>385</v>
      </c>
    </row>
    <row r="438" spans="2:16" ht="39.75" customHeight="1">
      <c r="B438" s="25">
        <v>39962</v>
      </c>
      <c r="C438" s="340" t="s">
        <v>270</v>
      </c>
      <c r="D438" s="2" t="s">
        <v>1356</v>
      </c>
      <c r="E438" s="26" t="s">
        <v>388</v>
      </c>
      <c r="F438" s="2" t="s">
        <v>42</v>
      </c>
      <c r="G438" s="2" t="s">
        <v>1844</v>
      </c>
      <c r="H438" s="2" t="s">
        <v>315</v>
      </c>
      <c r="I438" s="356">
        <v>5417.510708603598</v>
      </c>
      <c r="J438" s="342">
        <v>35.9</v>
      </c>
      <c r="K438" s="357">
        <f t="shared" si="19"/>
        <v>150.90559076890244</v>
      </c>
      <c r="L438" s="476">
        <v>60</v>
      </c>
      <c r="M438" s="343">
        <f t="shared" si="20"/>
        <v>90.2918451433933</v>
      </c>
      <c r="N438" s="344">
        <f ca="1" t="shared" si="18"/>
        <v>153</v>
      </c>
      <c r="O438" s="358">
        <v>1</v>
      </c>
      <c r="P438" s="340" t="s">
        <v>385</v>
      </c>
    </row>
    <row r="439" spans="2:16" ht="39.75" customHeight="1">
      <c r="B439" s="25">
        <v>39962</v>
      </c>
      <c r="C439" s="340" t="s">
        <v>270</v>
      </c>
      <c r="D439" s="2" t="s">
        <v>1357</v>
      </c>
      <c r="E439" s="26" t="s">
        <v>388</v>
      </c>
      <c r="F439" s="2" t="s">
        <v>42</v>
      </c>
      <c r="G439" s="2" t="s">
        <v>1844</v>
      </c>
      <c r="H439" s="2" t="s">
        <v>315</v>
      </c>
      <c r="I439" s="356">
        <v>5417.510708603598</v>
      </c>
      <c r="J439" s="342">
        <v>35.9</v>
      </c>
      <c r="K439" s="357">
        <f t="shared" si="19"/>
        <v>150.90559076890244</v>
      </c>
      <c r="L439" s="476">
        <v>60</v>
      </c>
      <c r="M439" s="343">
        <f t="shared" si="20"/>
        <v>90.2918451433933</v>
      </c>
      <c r="N439" s="344">
        <f ca="1" t="shared" si="18"/>
        <v>153</v>
      </c>
      <c r="O439" s="358">
        <v>1</v>
      </c>
      <c r="P439" s="340" t="s">
        <v>385</v>
      </c>
    </row>
    <row r="440" spans="2:16" ht="39.75" customHeight="1">
      <c r="B440" s="25">
        <v>39962</v>
      </c>
      <c r="C440" s="340" t="s">
        <v>270</v>
      </c>
      <c r="D440" s="2" t="s">
        <v>1358</v>
      </c>
      <c r="E440" s="26" t="s">
        <v>388</v>
      </c>
      <c r="F440" s="2" t="s">
        <v>42</v>
      </c>
      <c r="G440" s="2" t="s">
        <v>1844</v>
      </c>
      <c r="H440" s="2" t="s">
        <v>315</v>
      </c>
      <c r="I440" s="356">
        <v>5417.510708603598</v>
      </c>
      <c r="J440" s="342">
        <v>35.9</v>
      </c>
      <c r="K440" s="357">
        <f t="shared" si="19"/>
        <v>150.90559076890244</v>
      </c>
      <c r="L440" s="476">
        <v>60</v>
      </c>
      <c r="M440" s="343">
        <f t="shared" si="20"/>
        <v>90.2918451433933</v>
      </c>
      <c r="N440" s="344">
        <f ca="1" t="shared" si="18"/>
        <v>153</v>
      </c>
      <c r="O440" s="358">
        <v>1</v>
      </c>
      <c r="P440" s="340" t="s">
        <v>385</v>
      </c>
    </row>
    <row r="441" spans="2:16" ht="39.75" customHeight="1">
      <c r="B441" s="25">
        <v>39962</v>
      </c>
      <c r="C441" s="340" t="s">
        <v>270</v>
      </c>
      <c r="D441" s="2" t="s">
        <v>1673</v>
      </c>
      <c r="E441" s="26" t="s">
        <v>392</v>
      </c>
      <c r="F441" s="2" t="s">
        <v>42</v>
      </c>
      <c r="G441" s="2" t="s">
        <v>1871</v>
      </c>
      <c r="H441" s="2" t="s">
        <v>316</v>
      </c>
      <c r="I441" s="356">
        <v>5400</v>
      </c>
      <c r="J441" s="342">
        <v>35.9</v>
      </c>
      <c r="K441" s="357">
        <f t="shared" si="19"/>
        <v>150.41782729805016</v>
      </c>
      <c r="L441" s="476">
        <v>60</v>
      </c>
      <c r="M441" s="343">
        <f t="shared" si="20"/>
        <v>90</v>
      </c>
      <c r="N441" s="344">
        <f ca="1" t="shared" si="18"/>
        <v>153</v>
      </c>
      <c r="O441" s="358">
        <v>1</v>
      </c>
      <c r="P441" s="340" t="s">
        <v>385</v>
      </c>
    </row>
    <row r="442" spans="2:16" ht="39.75" customHeight="1">
      <c r="B442" s="25">
        <v>39962</v>
      </c>
      <c r="C442" s="340" t="s">
        <v>270</v>
      </c>
      <c r="D442" s="2" t="s">
        <v>1674</v>
      </c>
      <c r="E442" s="26" t="s">
        <v>392</v>
      </c>
      <c r="F442" s="2" t="s">
        <v>42</v>
      </c>
      <c r="G442" s="2" t="s">
        <v>1871</v>
      </c>
      <c r="H442" s="2" t="s">
        <v>316</v>
      </c>
      <c r="I442" s="356">
        <v>5400</v>
      </c>
      <c r="J442" s="342">
        <v>35.9</v>
      </c>
      <c r="K442" s="357">
        <f t="shared" si="19"/>
        <v>150.41782729805016</v>
      </c>
      <c r="L442" s="476">
        <v>60</v>
      </c>
      <c r="M442" s="343">
        <f t="shared" si="20"/>
        <v>90</v>
      </c>
      <c r="N442" s="344">
        <f ca="1" t="shared" si="18"/>
        <v>153</v>
      </c>
      <c r="O442" s="358">
        <v>1</v>
      </c>
      <c r="P442" s="340" t="s">
        <v>385</v>
      </c>
    </row>
    <row r="443" spans="2:16" ht="39.75" customHeight="1">
      <c r="B443" s="25">
        <v>39962</v>
      </c>
      <c r="C443" s="340" t="s">
        <v>270</v>
      </c>
      <c r="D443" s="2" t="s">
        <v>1680</v>
      </c>
      <c r="E443" s="26" t="s">
        <v>384</v>
      </c>
      <c r="F443" s="2" t="s">
        <v>42</v>
      </c>
      <c r="G443" s="2" t="s">
        <v>1871</v>
      </c>
      <c r="H443" s="2" t="s">
        <v>316</v>
      </c>
      <c r="I443" s="356">
        <v>3596.871863908946</v>
      </c>
      <c r="J443" s="342">
        <v>35.9</v>
      </c>
      <c r="K443" s="357">
        <f t="shared" si="19"/>
        <v>100.19141682197622</v>
      </c>
      <c r="L443" s="476">
        <v>60</v>
      </c>
      <c r="M443" s="343">
        <f t="shared" si="20"/>
        <v>59.94786439848244</v>
      </c>
      <c r="N443" s="344">
        <f ca="1" t="shared" si="18"/>
        <v>153</v>
      </c>
      <c r="O443" s="358">
        <v>1</v>
      </c>
      <c r="P443" s="340" t="s">
        <v>385</v>
      </c>
    </row>
    <row r="444" spans="2:16" ht="39.75" customHeight="1">
      <c r="B444" s="25">
        <v>39962</v>
      </c>
      <c r="C444" s="340" t="s">
        <v>270</v>
      </c>
      <c r="D444" s="2" t="s">
        <v>1681</v>
      </c>
      <c r="E444" s="26" t="s">
        <v>384</v>
      </c>
      <c r="F444" s="2" t="s">
        <v>42</v>
      </c>
      <c r="G444" s="2" t="s">
        <v>1871</v>
      </c>
      <c r="H444" s="2" t="s">
        <v>316</v>
      </c>
      <c r="I444" s="356">
        <v>3596.871863908946</v>
      </c>
      <c r="J444" s="342">
        <v>35.9</v>
      </c>
      <c r="K444" s="357">
        <f t="shared" si="19"/>
        <v>100.19141682197622</v>
      </c>
      <c r="L444" s="476">
        <v>60</v>
      </c>
      <c r="M444" s="343">
        <f t="shared" si="20"/>
        <v>59.94786439848244</v>
      </c>
      <c r="N444" s="344">
        <f ca="1" t="shared" si="18"/>
        <v>153</v>
      </c>
      <c r="O444" s="358">
        <v>1</v>
      </c>
      <c r="P444" s="340" t="s">
        <v>385</v>
      </c>
    </row>
    <row r="445" spans="2:16" ht="39.75" customHeight="1">
      <c r="B445" s="25">
        <v>39962</v>
      </c>
      <c r="C445" s="340" t="s">
        <v>270</v>
      </c>
      <c r="D445" s="2" t="s">
        <v>1682</v>
      </c>
      <c r="E445" s="26" t="s">
        <v>136</v>
      </c>
      <c r="F445" s="2" t="s">
        <v>42</v>
      </c>
      <c r="G445" s="2" t="s">
        <v>1871</v>
      </c>
      <c r="H445" s="2" t="s">
        <v>316</v>
      </c>
      <c r="I445" s="356">
        <v>5239.887406682169</v>
      </c>
      <c r="J445" s="342">
        <v>35.9</v>
      </c>
      <c r="K445" s="357">
        <f t="shared" si="19"/>
        <v>145.95786648139747</v>
      </c>
      <c r="L445" s="476">
        <v>60</v>
      </c>
      <c r="M445" s="343">
        <f t="shared" si="20"/>
        <v>87.33145677803616</v>
      </c>
      <c r="N445" s="344">
        <f ca="1" t="shared" si="18"/>
        <v>153</v>
      </c>
      <c r="O445" s="358">
        <v>1</v>
      </c>
      <c r="P445" s="340" t="s">
        <v>385</v>
      </c>
    </row>
    <row r="446" spans="2:16" ht="39.75" customHeight="1">
      <c r="B446" s="25">
        <v>39962</v>
      </c>
      <c r="C446" s="340" t="s">
        <v>270</v>
      </c>
      <c r="D446" s="2" t="s">
        <v>1683</v>
      </c>
      <c r="E446" s="26" t="s">
        <v>388</v>
      </c>
      <c r="F446" s="2" t="s">
        <v>42</v>
      </c>
      <c r="G446" s="2" t="s">
        <v>1871</v>
      </c>
      <c r="H446" s="2" t="s">
        <v>316</v>
      </c>
      <c r="I446" s="356">
        <v>5417.510708603598</v>
      </c>
      <c r="J446" s="342">
        <v>35.9</v>
      </c>
      <c r="K446" s="357">
        <f t="shared" si="19"/>
        <v>150.90559076890244</v>
      </c>
      <c r="L446" s="476">
        <v>60</v>
      </c>
      <c r="M446" s="343">
        <f t="shared" si="20"/>
        <v>90.2918451433933</v>
      </c>
      <c r="N446" s="344">
        <f ca="1" t="shared" si="18"/>
        <v>153</v>
      </c>
      <c r="O446" s="358">
        <v>1</v>
      </c>
      <c r="P446" s="340" t="s">
        <v>385</v>
      </c>
    </row>
    <row r="447" spans="2:16" ht="39.75" customHeight="1">
      <c r="B447" s="25">
        <v>39962</v>
      </c>
      <c r="C447" s="340" t="s">
        <v>270</v>
      </c>
      <c r="D447" s="2" t="s">
        <v>1493</v>
      </c>
      <c r="E447" s="26" t="s">
        <v>388</v>
      </c>
      <c r="F447" s="2" t="s">
        <v>42</v>
      </c>
      <c r="G447" s="2" t="s">
        <v>1871</v>
      </c>
      <c r="H447" s="2" t="s">
        <v>316</v>
      </c>
      <c r="I447" s="356">
        <v>5417.510708603598</v>
      </c>
      <c r="J447" s="342">
        <v>35.9</v>
      </c>
      <c r="K447" s="357">
        <f t="shared" si="19"/>
        <v>150.90559076890244</v>
      </c>
      <c r="L447" s="476">
        <v>60</v>
      </c>
      <c r="M447" s="343">
        <f t="shared" si="20"/>
        <v>90.2918451433933</v>
      </c>
      <c r="N447" s="344">
        <f ca="1" t="shared" si="18"/>
        <v>153</v>
      </c>
      <c r="O447" s="358">
        <v>1</v>
      </c>
      <c r="P447" s="340" t="s">
        <v>385</v>
      </c>
    </row>
    <row r="448" spans="2:16" ht="39.75" customHeight="1">
      <c r="B448" s="25">
        <v>39962</v>
      </c>
      <c r="C448" s="340" t="s">
        <v>270</v>
      </c>
      <c r="D448" s="2" t="s">
        <v>1684</v>
      </c>
      <c r="E448" s="26" t="s">
        <v>529</v>
      </c>
      <c r="F448" s="2" t="s">
        <v>42</v>
      </c>
      <c r="G448" s="2" t="s">
        <v>1871</v>
      </c>
      <c r="H448" s="2" t="s">
        <v>316</v>
      </c>
      <c r="I448" s="356">
        <v>932.5223350875046</v>
      </c>
      <c r="J448" s="342">
        <v>35.9</v>
      </c>
      <c r="K448" s="357">
        <f t="shared" si="19"/>
        <v>25.975552509401243</v>
      </c>
      <c r="L448" s="476">
        <v>60</v>
      </c>
      <c r="M448" s="343">
        <f t="shared" si="20"/>
        <v>15.542038918125078</v>
      </c>
      <c r="N448" s="344">
        <f ca="1" t="shared" si="18"/>
        <v>153</v>
      </c>
      <c r="O448" s="358">
        <v>1</v>
      </c>
      <c r="P448" s="340" t="s">
        <v>385</v>
      </c>
    </row>
    <row r="449" spans="2:16" ht="39.75" customHeight="1">
      <c r="B449" s="25">
        <v>39962</v>
      </c>
      <c r="C449" s="340" t="s">
        <v>270</v>
      </c>
      <c r="D449" s="2" t="s">
        <v>1476</v>
      </c>
      <c r="E449" s="26" t="s">
        <v>384</v>
      </c>
      <c r="F449" s="2" t="s">
        <v>42</v>
      </c>
      <c r="G449" s="2" t="s">
        <v>1866</v>
      </c>
      <c r="H449" s="2" t="s">
        <v>314</v>
      </c>
      <c r="I449" s="356">
        <v>3596.871863908946</v>
      </c>
      <c r="J449" s="342">
        <v>35.9</v>
      </c>
      <c r="K449" s="357">
        <f t="shared" si="19"/>
        <v>100.19141682197622</v>
      </c>
      <c r="L449" s="476">
        <v>60</v>
      </c>
      <c r="M449" s="343">
        <f t="shared" si="20"/>
        <v>59.94786439848244</v>
      </c>
      <c r="N449" s="344">
        <f ca="1" t="shared" si="18"/>
        <v>153</v>
      </c>
      <c r="O449" s="358">
        <v>1</v>
      </c>
      <c r="P449" s="340" t="s">
        <v>385</v>
      </c>
    </row>
    <row r="450" spans="2:16" ht="39.75" customHeight="1">
      <c r="B450" s="25">
        <v>39962</v>
      </c>
      <c r="C450" s="340" t="s">
        <v>270</v>
      </c>
      <c r="D450" s="2" t="s">
        <v>1477</v>
      </c>
      <c r="E450" s="26" t="s">
        <v>384</v>
      </c>
      <c r="F450" s="2" t="s">
        <v>42</v>
      </c>
      <c r="G450" s="2" t="s">
        <v>1866</v>
      </c>
      <c r="H450" s="2" t="s">
        <v>314</v>
      </c>
      <c r="I450" s="356">
        <v>3596.871863908946</v>
      </c>
      <c r="J450" s="342">
        <v>35.9</v>
      </c>
      <c r="K450" s="357">
        <f t="shared" si="19"/>
        <v>100.19141682197622</v>
      </c>
      <c r="L450" s="476">
        <v>60</v>
      </c>
      <c r="M450" s="343">
        <f t="shared" si="20"/>
        <v>59.94786439848244</v>
      </c>
      <c r="N450" s="344">
        <f ca="1" t="shared" si="18"/>
        <v>153</v>
      </c>
      <c r="O450" s="358">
        <v>1</v>
      </c>
      <c r="P450" s="340" t="s">
        <v>385</v>
      </c>
    </row>
    <row r="451" spans="2:16" ht="39.75" customHeight="1">
      <c r="B451" s="25">
        <v>39962</v>
      </c>
      <c r="C451" s="340" t="s">
        <v>270</v>
      </c>
      <c r="D451" s="2" t="s">
        <v>1478</v>
      </c>
      <c r="E451" s="26" t="s">
        <v>388</v>
      </c>
      <c r="F451" s="2" t="s">
        <v>42</v>
      </c>
      <c r="G451" s="2" t="s">
        <v>1866</v>
      </c>
      <c r="H451" s="2" t="s">
        <v>314</v>
      </c>
      <c r="I451" s="356">
        <v>5417.510708603598</v>
      </c>
      <c r="J451" s="342">
        <v>35.9</v>
      </c>
      <c r="K451" s="357">
        <f t="shared" si="19"/>
        <v>150.90559076890244</v>
      </c>
      <c r="L451" s="476">
        <v>60</v>
      </c>
      <c r="M451" s="343">
        <f t="shared" si="20"/>
        <v>90.2918451433933</v>
      </c>
      <c r="N451" s="344">
        <f ca="1" t="shared" si="18"/>
        <v>153</v>
      </c>
      <c r="O451" s="358">
        <v>1</v>
      </c>
      <c r="P451" s="340" t="s">
        <v>385</v>
      </c>
    </row>
    <row r="452" spans="2:16" ht="39.75" customHeight="1">
      <c r="B452" s="25">
        <v>39962</v>
      </c>
      <c r="C452" s="340" t="s">
        <v>270</v>
      </c>
      <c r="D452" s="2" t="s">
        <v>1480</v>
      </c>
      <c r="E452" s="26" t="s">
        <v>529</v>
      </c>
      <c r="F452" s="2" t="s">
        <v>42</v>
      </c>
      <c r="G452" s="2" t="s">
        <v>1866</v>
      </c>
      <c r="H452" s="2" t="s">
        <v>314</v>
      </c>
      <c r="I452" s="356">
        <v>932.5223350875046</v>
      </c>
      <c r="J452" s="342">
        <v>35.9</v>
      </c>
      <c r="K452" s="357">
        <f t="shared" si="19"/>
        <v>25.975552509401243</v>
      </c>
      <c r="L452" s="476">
        <v>60</v>
      </c>
      <c r="M452" s="343">
        <f t="shared" si="20"/>
        <v>15.542038918125078</v>
      </c>
      <c r="N452" s="344">
        <f ca="1" t="shared" si="18"/>
        <v>153</v>
      </c>
      <c r="O452" s="358">
        <v>1</v>
      </c>
      <c r="P452" s="340" t="s">
        <v>385</v>
      </c>
    </row>
    <row r="453" spans="2:16" ht="39.75" customHeight="1">
      <c r="B453" s="25">
        <v>39962</v>
      </c>
      <c r="C453" s="340" t="s">
        <v>270</v>
      </c>
      <c r="D453" s="2" t="s">
        <v>1481</v>
      </c>
      <c r="E453" s="26" t="s">
        <v>529</v>
      </c>
      <c r="F453" s="2" t="s">
        <v>42</v>
      </c>
      <c r="G453" s="2" t="s">
        <v>1866</v>
      </c>
      <c r="H453" s="2" t="s">
        <v>314</v>
      </c>
      <c r="I453" s="356">
        <v>932.5223350875046</v>
      </c>
      <c r="J453" s="342">
        <v>35.9</v>
      </c>
      <c r="K453" s="357">
        <f t="shared" si="19"/>
        <v>25.975552509401243</v>
      </c>
      <c r="L453" s="476">
        <v>60</v>
      </c>
      <c r="M453" s="343">
        <f t="shared" si="20"/>
        <v>15.542038918125078</v>
      </c>
      <c r="N453" s="344">
        <f ca="1" t="shared" si="18"/>
        <v>153</v>
      </c>
      <c r="O453" s="358">
        <v>1</v>
      </c>
      <c r="P453" s="340" t="s">
        <v>385</v>
      </c>
    </row>
    <row r="454" spans="2:16" ht="39.75" customHeight="1">
      <c r="B454" s="25">
        <v>39962</v>
      </c>
      <c r="C454" s="340" t="s">
        <v>270</v>
      </c>
      <c r="D454" s="2" t="s">
        <v>1173</v>
      </c>
      <c r="E454" s="26" t="s">
        <v>392</v>
      </c>
      <c r="F454" s="2" t="s">
        <v>42</v>
      </c>
      <c r="G454" s="2" t="s">
        <v>1824</v>
      </c>
      <c r="H454" s="2" t="s">
        <v>285</v>
      </c>
      <c r="I454" s="356">
        <v>5400</v>
      </c>
      <c r="J454" s="342">
        <v>35.9</v>
      </c>
      <c r="K454" s="357">
        <f t="shared" si="19"/>
        <v>150.41782729805016</v>
      </c>
      <c r="L454" s="476">
        <v>60</v>
      </c>
      <c r="M454" s="343">
        <f t="shared" si="20"/>
        <v>90</v>
      </c>
      <c r="N454" s="344">
        <f ca="1" t="shared" si="18"/>
        <v>153</v>
      </c>
      <c r="O454" s="358">
        <v>1</v>
      </c>
      <c r="P454" s="340" t="s">
        <v>385</v>
      </c>
    </row>
    <row r="455" spans="2:16" ht="39.75" customHeight="1">
      <c r="B455" s="25">
        <v>39962</v>
      </c>
      <c r="C455" s="340" t="s">
        <v>270</v>
      </c>
      <c r="D455" s="2" t="s">
        <v>1174</v>
      </c>
      <c r="E455" s="26" t="s">
        <v>392</v>
      </c>
      <c r="F455" s="2" t="s">
        <v>42</v>
      </c>
      <c r="G455" s="2" t="s">
        <v>1824</v>
      </c>
      <c r="H455" s="2" t="s">
        <v>285</v>
      </c>
      <c r="I455" s="356">
        <v>5400</v>
      </c>
      <c r="J455" s="342">
        <v>35.9</v>
      </c>
      <c r="K455" s="357">
        <f t="shared" si="19"/>
        <v>150.41782729805016</v>
      </c>
      <c r="L455" s="476">
        <v>60</v>
      </c>
      <c r="M455" s="343">
        <f t="shared" si="20"/>
        <v>90</v>
      </c>
      <c r="N455" s="344">
        <f ca="1" t="shared" si="18"/>
        <v>153</v>
      </c>
      <c r="O455" s="358">
        <v>1</v>
      </c>
      <c r="P455" s="340" t="s">
        <v>385</v>
      </c>
    </row>
    <row r="456" spans="2:16" ht="39.75" customHeight="1">
      <c r="B456" s="25">
        <v>39962</v>
      </c>
      <c r="C456" s="340" t="s">
        <v>270</v>
      </c>
      <c r="D456" s="2" t="s">
        <v>1184</v>
      </c>
      <c r="E456" s="26" t="s">
        <v>384</v>
      </c>
      <c r="F456" s="2" t="s">
        <v>42</v>
      </c>
      <c r="G456" s="2" t="s">
        <v>1824</v>
      </c>
      <c r="H456" s="2" t="s">
        <v>285</v>
      </c>
      <c r="I456" s="356">
        <v>3596.871863908946</v>
      </c>
      <c r="J456" s="342">
        <v>35.9</v>
      </c>
      <c r="K456" s="357">
        <f t="shared" si="19"/>
        <v>100.19141682197622</v>
      </c>
      <c r="L456" s="476">
        <v>60</v>
      </c>
      <c r="M456" s="343">
        <f t="shared" si="20"/>
        <v>59.94786439848244</v>
      </c>
      <c r="N456" s="344">
        <f aca="true" ca="1" t="shared" si="21" ref="N456:N519">IF(B456&lt;&gt;0,(ROUND((NOW()-B456)/30,0)),0)</f>
        <v>153</v>
      </c>
      <c r="O456" s="358">
        <v>1</v>
      </c>
      <c r="P456" s="340" t="s">
        <v>385</v>
      </c>
    </row>
    <row r="457" spans="2:16" ht="39.75" customHeight="1">
      <c r="B457" s="25">
        <v>39962</v>
      </c>
      <c r="C457" s="340" t="s">
        <v>270</v>
      </c>
      <c r="D457" s="2" t="s">
        <v>1186</v>
      </c>
      <c r="E457" s="26" t="s">
        <v>384</v>
      </c>
      <c r="F457" s="2" t="s">
        <v>42</v>
      </c>
      <c r="G457" s="2" t="s">
        <v>1824</v>
      </c>
      <c r="H457" s="2" t="s">
        <v>285</v>
      </c>
      <c r="I457" s="356">
        <v>3596.871863908946</v>
      </c>
      <c r="J457" s="342">
        <v>35.9</v>
      </c>
      <c r="K457" s="357">
        <f aca="true" t="shared" si="22" ref="K457:K520">+I457/J457</f>
        <v>100.19141682197622</v>
      </c>
      <c r="L457" s="476">
        <v>60</v>
      </c>
      <c r="M457" s="343">
        <f aca="true" t="shared" si="23" ref="M457:M520">+I457/L537</f>
        <v>59.94786439848244</v>
      </c>
      <c r="N457" s="344">
        <f ca="1" t="shared" si="21"/>
        <v>153</v>
      </c>
      <c r="O457" s="358">
        <v>1</v>
      </c>
      <c r="P457" s="340" t="s">
        <v>385</v>
      </c>
    </row>
    <row r="458" spans="2:16" ht="39.75" customHeight="1">
      <c r="B458" s="25">
        <v>39962</v>
      </c>
      <c r="C458" s="340" t="s">
        <v>270</v>
      </c>
      <c r="D458" s="2" t="s">
        <v>1187</v>
      </c>
      <c r="E458" s="26" t="s">
        <v>384</v>
      </c>
      <c r="F458" s="2" t="s">
        <v>42</v>
      </c>
      <c r="G458" s="2" t="s">
        <v>1824</v>
      </c>
      <c r="H458" s="2" t="s">
        <v>285</v>
      </c>
      <c r="I458" s="356">
        <v>3596.871863908946</v>
      </c>
      <c r="J458" s="342">
        <v>35.9</v>
      </c>
      <c r="K458" s="357">
        <f t="shared" si="22"/>
        <v>100.19141682197622</v>
      </c>
      <c r="L458" s="476">
        <v>60</v>
      </c>
      <c r="M458" s="343">
        <f t="shared" si="23"/>
        <v>59.94786439848244</v>
      </c>
      <c r="N458" s="344">
        <f ca="1" t="shared" si="21"/>
        <v>153</v>
      </c>
      <c r="O458" s="358">
        <v>1</v>
      </c>
      <c r="P458" s="340" t="s">
        <v>385</v>
      </c>
    </row>
    <row r="459" spans="2:16" ht="39.75" customHeight="1">
      <c r="B459" s="25">
        <v>39962</v>
      </c>
      <c r="C459" s="340" t="s">
        <v>270</v>
      </c>
      <c r="D459" s="2" t="s">
        <v>1185</v>
      </c>
      <c r="E459" s="26" t="s">
        <v>136</v>
      </c>
      <c r="F459" s="2" t="s">
        <v>42</v>
      </c>
      <c r="G459" s="2" t="s">
        <v>1824</v>
      </c>
      <c r="H459" s="2" t="s">
        <v>285</v>
      </c>
      <c r="I459" s="356">
        <v>5239.887406682169</v>
      </c>
      <c r="J459" s="342">
        <v>35.9</v>
      </c>
      <c r="K459" s="357">
        <f t="shared" si="22"/>
        <v>145.95786648139747</v>
      </c>
      <c r="L459" s="476">
        <v>60</v>
      </c>
      <c r="M459" s="343">
        <f t="shared" si="23"/>
        <v>87.33145677803616</v>
      </c>
      <c r="N459" s="344">
        <f ca="1" t="shared" si="21"/>
        <v>153</v>
      </c>
      <c r="O459" s="358">
        <v>1</v>
      </c>
      <c r="P459" s="340" t="s">
        <v>385</v>
      </c>
    </row>
    <row r="460" spans="2:16" ht="39.75" customHeight="1">
      <c r="B460" s="25">
        <v>39962</v>
      </c>
      <c r="C460" s="340" t="s">
        <v>270</v>
      </c>
      <c r="D460" s="2" t="s">
        <v>1188</v>
      </c>
      <c r="E460" s="26" t="s">
        <v>136</v>
      </c>
      <c r="F460" s="2" t="s">
        <v>42</v>
      </c>
      <c r="G460" s="2" t="s">
        <v>1824</v>
      </c>
      <c r="H460" s="2" t="s">
        <v>285</v>
      </c>
      <c r="I460" s="356">
        <v>5239.887406682169</v>
      </c>
      <c r="J460" s="342">
        <v>35.9</v>
      </c>
      <c r="K460" s="357">
        <f t="shared" si="22"/>
        <v>145.95786648139747</v>
      </c>
      <c r="L460" s="476">
        <v>60</v>
      </c>
      <c r="M460" s="343">
        <f t="shared" si="23"/>
        <v>87.33145677803616</v>
      </c>
      <c r="N460" s="344">
        <f ca="1" t="shared" si="21"/>
        <v>153</v>
      </c>
      <c r="O460" s="358">
        <v>1</v>
      </c>
      <c r="P460" s="340" t="s">
        <v>385</v>
      </c>
    </row>
    <row r="461" spans="2:16" ht="39.75" customHeight="1">
      <c r="B461" s="25">
        <v>39962</v>
      </c>
      <c r="C461" s="340" t="s">
        <v>270</v>
      </c>
      <c r="D461" s="2" t="s">
        <v>1189</v>
      </c>
      <c r="E461" s="26" t="s">
        <v>388</v>
      </c>
      <c r="F461" s="2" t="s">
        <v>42</v>
      </c>
      <c r="G461" s="2" t="s">
        <v>1824</v>
      </c>
      <c r="H461" s="2" t="s">
        <v>285</v>
      </c>
      <c r="I461" s="356">
        <v>5417.510708603598</v>
      </c>
      <c r="J461" s="342">
        <v>35.9</v>
      </c>
      <c r="K461" s="357">
        <f t="shared" si="22"/>
        <v>150.90559076890244</v>
      </c>
      <c r="L461" s="476">
        <v>60</v>
      </c>
      <c r="M461" s="343">
        <f t="shared" si="23"/>
        <v>90.2918451433933</v>
      </c>
      <c r="N461" s="344">
        <f ca="1" t="shared" si="21"/>
        <v>153</v>
      </c>
      <c r="O461" s="358">
        <v>1</v>
      </c>
      <c r="P461" s="340" t="s">
        <v>385</v>
      </c>
    </row>
    <row r="462" spans="2:16" ht="39.75" customHeight="1">
      <c r="B462" s="25">
        <v>39962</v>
      </c>
      <c r="C462" s="340" t="s">
        <v>270</v>
      </c>
      <c r="D462" s="2" t="s">
        <v>1190</v>
      </c>
      <c r="E462" s="26" t="s">
        <v>388</v>
      </c>
      <c r="F462" s="2" t="s">
        <v>42</v>
      </c>
      <c r="G462" s="2" t="s">
        <v>1824</v>
      </c>
      <c r="H462" s="2" t="s">
        <v>285</v>
      </c>
      <c r="I462" s="356">
        <v>5417.510708603598</v>
      </c>
      <c r="J462" s="342">
        <v>35.9</v>
      </c>
      <c r="K462" s="357">
        <f t="shared" si="22"/>
        <v>150.90559076890244</v>
      </c>
      <c r="L462" s="476">
        <v>60</v>
      </c>
      <c r="M462" s="343">
        <f t="shared" si="23"/>
        <v>90.2918451433933</v>
      </c>
      <c r="N462" s="344">
        <f ca="1" t="shared" si="21"/>
        <v>153</v>
      </c>
      <c r="O462" s="358">
        <v>1</v>
      </c>
      <c r="P462" s="340" t="s">
        <v>385</v>
      </c>
    </row>
    <row r="463" spans="2:16" ht="39.75" customHeight="1">
      <c r="B463" s="25">
        <v>39962</v>
      </c>
      <c r="C463" s="340" t="s">
        <v>270</v>
      </c>
      <c r="D463" s="2" t="s">
        <v>1191</v>
      </c>
      <c r="E463" s="26" t="s">
        <v>388</v>
      </c>
      <c r="F463" s="2" t="s">
        <v>42</v>
      </c>
      <c r="G463" s="2" t="s">
        <v>1824</v>
      </c>
      <c r="H463" s="2" t="s">
        <v>285</v>
      </c>
      <c r="I463" s="356">
        <v>5417.510708603598</v>
      </c>
      <c r="J463" s="342">
        <v>35.9</v>
      </c>
      <c r="K463" s="357">
        <f t="shared" si="22"/>
        <v>150.90559076890244</v>
      </c>
      <c r="L463" s="476">
        <v>60</v>
      </c>
      <c r="M463" s="343">
        <f t="shared" si="23"/>
        <v>90.2918451433933</v>
      </c>
      <c r="N463" s="344">
        <f ca="1" t="shared" si="21"/>
        <v>153</v>
      </c>
      <c r="O463" s="358">
        <v>1</v>
      </c>
      <c r="P463" s="340" t="s">
        <v>385</v>
      </c>
    </row>
    <row r="464" spans="2:16" ht="39.75" customHeight="1">
      <c r="B464" s="25">
        <v>39962</v>
      </c>
      <c r="C464" s="340" t="s">
        <v>270</v>
      </c>
      <c r="D464" s="2" t="s">
        <v>1084</v>
      </c>
      <c r="E464" s="26" t="s">
        <v>529</v>
      </c>
      <c r="F464" s="2" t="s">
        <v>42</v>
      </c>
      <c r="G464" s="2" t="s">
        <v>821</v>
      </c>
      <c r="H464" s="2" t="s">
        <v>530</v>
      </c>
      <c r="I464" s="356">
        <v>932.5223350875046</v>
      </c>
      <c r="J464" s="342">
        <v>35.9</v>
      </c>
      <c r="K464" s="357">
        <f t="shared" si="22"/>
        <v>25.975552509401243</v>
      </c>
      <c r="L464" s="476">
        <v>60</v>
      </c>
      <c r="M464" s="343">
        <f t="shared" si="23"/>
        <v>15.542038918125078</v>
      </c>
      <c r="N464" s="344">
        <f ca="1" t="shared" si="21"/>
        <v>153</v>
      </c>
      <c r="O464" s="358">
        <v>1</v>
      </c>
      <c r="P464" s="340" t="s">
        <v>385</v>
      </c>
    </row>
    <row r="465" spans="2:16" ht="39.75" customHeight="1">
      <c r="B465" s="25">
        <v>39962</v>
      </c>
      <c r="C465" s="340" t="s">
        <v>270</v>
      </c>
      <c r="D465" s="2" t="s">
        <v>1085</v>
      </c>
      <c r="E465" s="26" t="s">
        <v>529</v>
      </c>
      <c r="F465" s="2" t="s">
        <v>42</v>
      </c>
      <c r="G465" s="2" t="s">
        <v>821</v>
      </c>
      <c r="H465" s="2" t="s">
        <v>530</v>
      </c>
      <c r="I465" s="356">
        <v>932.5223350875046</v>
      </c>
      <c r="J465" s="342">
        <v>35.9</v>
      </c>
      <c r="K465" s="357">
        <f t="shared" si="22"/>
        <v>25.975552509401243</v>
      </c>
      <c r="L465" s="476">
        <v>60</v>
      </c>
      <c r="M465" s="343">
        <f t="shared" si="23"/>
        <v>15.542038918125078</v>
      </c>
      <c r="N465" s="344">
        <f ca="1" t="shared" si="21"/>
        <v>153</v>
      </c>
      <c r="O465" s="358">
        <v>1</v>
      </c>
      <c r="P465" s="340" t="s">
        <v>385</v>
      </c>
    </row>
    <row r="466" spans="2:16" ht="39.75" customHeight="1">
      <c r="B466" s="25">
        <v>39962</v>
      </c>
      <c r="C466" s="340" t="s">
        <v>270</v>
      </c>
      <c r="D466" s="2" t="s">
        <v>1111</v>
      </c>
      <c r="E466" s="26" t="s">
        <v>392</v>
      </c>
      <c r="F466" s="2" t="s">
        <v>42</v>
      </c>
      <c r="G466" s="2" t="s">
        <v>1824</v>
      </c>
      <c r="H466" s="2" t="s">
        <v>317</v>
      </c>
      <c r="I466" s="201">
        <v>5400</v>
      </c>
      <c r="J466" s="342">
        <v>35.9</v>
      </c>
      <c r="K466" s="357">
        <f t="shared" si="22"/>
        <v>150.41782729805016</v>
      </c>
      <c r="L466" s="477">
        <v>60</v>
      </c>
      <c r="M466" s="343">
        <f t="shared" si="23"/>
        <v>90</v>
      </c>
      <c r="N466" s="344">
        <f ca="1" t="shared" si="21"/>
        <v>153</v>
      </c>
      <c r="O466" s="33">
        <v>1</v>
      </c>
      <c r="P466" s="340" t="s">
        <v>385</v>
      </c>
    </row>
    <row r="467" spans="2:16" ht="39.75" customHeight="1">
      <c r="B467" s="25">
        <v>39962</v>
      </c>
      <c r="C467" s="340" t="s">
        <v>270</v>
      </c>
      <c r="D467" s="2" t="s">
        <v>1112</v>
      </c>
      <c r="E467" s="26" t="s">
        <v>392</v>
      </c>
      <c r="F467" s="2" t="s">
        <v>42</v>
      </c>
      <c r="G467" s="2" t="s">
        <v>1824</v>
      </c>
      <c r="H467" s="2" t="s">
        <v>317</v>
      </c>
      <c r="I467" s="201">
        <v>5400</v>
      </c>
      <c r="J467" s="342">
        <v>35.9</v>
      </c>
      <c r="K467" s="357">
        <f t="shared" si="22"/>
        <v>150.41782729805016</v>
      </c>
      <c r="L467" s="477">
        <v>60</v>
      </c>
      <c r="M467" s="343">
        <f t="shared" si="23"/>
        <v>90</v>
      </c>
      <c r="N467" s="344">
        <f ca="1" t="shared" si="21"/>
        <v>153</v>
      </c>
      <c r="O467" s="33">
        <v>1</v>
      </c>
      <c r="P467" s="340" t="s">
        <v>385</v>
      </c>
    </row>
    <row r="468" spans="2:16" ht="39.75" customHeight="1">
      <c r="B468" s="25">
        <v>39962</v>
      </c>
      <c r="C468" s="340" t="s">
        <v>270</v>
      </c>
      <c r="D468" s="2" t="s">
        <v>1120</v>
      </c>
      <c r="E468" s="26" t="s">
        <v>384</v>
      </c>
      <c r="F468" s="2" t="s">
        <v>42</v>
      </c>
      <c r="G468" s="2" t="s">
        <v>1824</v>
      </c>
      <c r="H468" s="2" t="s">
        <v>317</v>
      </c>
      <c r="I468" s="201">
        <v>3596.871863908946</v>
      </c>
      <c r="J468" s="342">
        <v>35.9</v>
      </c>
      <c r="K468" s="357">
        <f t="shared" si="22"/>
        <v>100.19141682197622</v>
      </c>
      <c r="L468" s="477">
        <v>60</v>
      </c>
      <c r="M468" s="343">
        <f t="shared" si="23"/>
        <v>59.94786439848244</v>
      </c>
      <c r="N468" s="344">
        <f ca="1" t="shared" si="21"/>
        <v>153</v>
      </c>
      <c r="O468" s="33">
        <v>1</v>
      </c>
      <c r="P468" s="340" t="s">
        <v>385</v>
      </c>
    </row>
    <row r="469" spans="2:16" ht="39.75" customHeight="1">
      <c r="B469" s="25">
        <v>39962</v>
      </c>
      <c r="C469" s="340" t="s">
        <v>270</v>
      </c>
      <c r="D469" s="2" t="s">
        <v>1121</v>
      </c>
      <c r="E469" s="26" t="s">
        <v>384</v>
      </c>
      <c r="F469" s="2" t="s">
        <v>42</v>
      </c>
      <c r="G469" s="2" t="s">
        <v>1824</v>
      </c>
      <c r="H469" s="2" t="s">
        <v>317</v>
      </c>
      <c r="I469" s="201">
        <v>3596.871863908946</v>
      </c>
      <c r="J469" s="342">
        <v>35.9</v>
      </c>
      <c r="K469" s="357">
        <f t="shared" si="22"/>
        <v>100.19141682197622</v>
      </c>
      <c r="L469" s="477">
        <v>60</v>
      </c>
      <c r="M469" s="343">
        <f t="shared" si="23"/>
        <v>59.94786439848244</v>
      </c>
      <c r="N469" s="344">
        <f ca="1" t="shared" si="21"/>
        <v>153</v>
      </c>
      <c r="O469" s="33">
        <v>1</v>
      </c>
      <c r="P469" s="340" t="s">
        <v>385</v>
      </c>
    </row>
    <row r="470" spans="2:16" ht="39.75" customHeight="1">
      <c r="B470" s="25">
        <v>39962</v>
      </c>
      <c r="C470" s="340" t="s">
        <v>270</v>
      </c>
      <c r="D470" s="2" t="s">
        <v>1122</v>
      </c>
      <c r="E470" s="26" t="s">
        <v>384</v>
      </c>
      <c r="F470" s="2" t="s">
        <v>42</v>
      </c>
      <c r="G470" s="2" t="s">
        <v>1824</v>
      </c>
      <c r="H470" s="2" t="s">
        <v>317</v>
      </c>
      <c r="I470" s="201">
        <v>3596.871863908946</v>
      </c>
      <c r="J470" s="342">
        <v>35.9</v>
      </c>
      <c r="K470" s="357">
        <f t="shared" si="22"/>
        <v>100.19141682197622</v>
      </c>
      <c r="L470" s="477">
        <v>60</v>
      </c>
      <c r="M470" s="343">
        <f t="shared" si="23"/>
        <v>59.94786439848244</v>
      </c>
      <c r="N470" s="344">
        <f ca="1" t="shared" si="21"/>
        <v>153</v>
      </c>
      <c r="O470" s="33">
        <v>1</v>
      </c>
      <c r="P470" s="340" t="s">
        <v>385</v>
      </c>
    </row>
    <row r="471" spans="2:16" ht="39.75" customHeight="1">
      <c r="B471" s="25">
        <v>39962</v>
      </c>
      <c r="C471" s="340" t="s">
        <v>270</v>
      </c>
      <c r="D471" s="2" t="s">
        <v>1123</v>
      </c>
      <c r="E471" s="26" t="s">
        <v>136</v>
      </c>
      <c r="F471" s="2" t="s">
        <v>42</v>
      </c>
      <c r="G471" s="2" t="s">
        <v>1824</v>
      </c>
      <c r="H471" s="2" t="s">
        <v>317</v>
      </c>
      <c r="I471" s="201">
        <v>5239.887406682169</v>
      </c>
      <c r="J471" s="342">
        <v>35.9</v>
      </c>
      <c r="K471" s="357">
        <f t="shared" si="22"/>
        <v>145.95786648139747</v>
      </c>
      <c r="L471" s="477">
        <v>60</v>
      </c>
      <c r="M471" s="343">
        <f t="shared" si="23"/>
        <v>87.33145677803616</v>
      </c>
      <c r="N471" s="344">
        <f ca="1" t="shared" si="21"/>
        <v>153</v>
      </c>
      <c r="O471" s="33">
        <v>1</v>
      </c>
      <c r="P471" s="340" t="s">
        <v>385</v>
      </c>
    </row>
    <row r="472" spans="2:16" ht="39.75" customHeight="1">
      <c r="B472" s="25">
        <v>39962</v>
      </c>
      <c r="C472" s="340" t="s">
        <v>270</v>
      </c>
      <c r="D472" s="2" t="s">
        <v>1124</v>
      </c>
      <c r="E472" s="26" t="s">
        <v>136</v>
      </c>
      <c r="F472" s="2" t="s">
        <v>42</v>
      </c>
      <c r="G472" s="2" t="s">
        <v>1824</v>
      </c>
      <c r="H472" s="2" t="s">
        <v>317</v>
      </c>
      <c r="I472" s="201">
        <v>5239.887406682169</v>
      </c>
      <c r="J472" s="342">
        <v>35.9</v>
      </c>
      <c r="K472" s="357">
        <f t="shared" si="22"/>
        <v>145.95786648139747</v>
      </c>
      <c r="L472" s="477">
        <v>60</v>
      </c>
      <c r="M472" s="343">
        <f t="shared" si="23"/>
        <v>87.33145677803616</v>
      </c>
      <c r="N472" s="344">
        <f ca="1" t="shared" si="21"/>
        <v>153</v>
      </c>
      <c r="O472" s="33">
        <v>1</v>
      </c>
      <c r="P472" s="340" t="s">
        <v>385</v>
      </c>
    </row>
    <row r="473" spans="2:16" ht="39.75" customHeight="1">
      <c r="B473" s="25">
        <v>39962</v>
      </c>
      <c r="C473" s="340" t="s">
        <v>270</v>
      </c>
      <c r="D473" s="2" t="s">
        <v>1212</v>
      </c>
      <c r="E473" s="26" t="s">
        <v>359</v>
      </c>
      <c r="F473" s="2" t="s">
        <v>42</v>
      </c>
      <c r="G473" s="2" t="s">
        <v>1826</v>
      </c>
      <c r="H473" s="2" t="s">
        <v>135</v>
      </c>
      <c r="I473" s="201">
        <v>6949.13</v>
      </c>
      <c r="J473" s="342">
        <v>35.9</v>
      </c>
      <c r="K473" s="357">
        <f t="shared" si="22"/>
        <v>193.5690807799443</v>
      </c>
      <c r="L473" s="477">
        <v>60</v>
      </c>
      <c r="M473" s="343">
        <f t="shared" si="23"/>
        <v>115.81883333333333</v>
      </c>
      <c r="N473" s="344">
        <f ca="1" t="shared" si="21"/>
        <v>153</v>
      </c>
      <c r="O473" s="33">
        <v>1</v>
      </c>
      <c r="P473" s="340" t="s">
        <v>385</v>
      </c>
    </row>
    <row r="474" spans="2:16" ht="39.75" customHeight="1">
      <c r="B474" s="25">
        <v>39962</v>
      </c>
      <c r="C474" s="340" t="s">
        <v>270</v>
      </c>
      <c r="D474" s="2" t="s">
        <v>1424</v>
      </c>
      <c r="E474" s="26" t="s">
        <v>529</v>
      </c>
      <c r="F474" s="2" t="s">
        <v>42</v>
      </c>
      <c r="G474" s="2" t="s">
        <v>1858</v>
      </c>
      <c r="H474" s="2" t="s">
        <v>14</v>
      </c>
      <c r="I474" s="201">
        <v>932.5223350875046</v>
      </c>
      <c r="J474" s="342">
        <v>35.9</v>
      </c>
      <c r="K474" s="357">
        <f t="shared" si="22"/>
        <v>25.975552509401243</v>
      </c>
      <c r="L474" s="477">
        <v>60</v>
      </c>
      <c r="M474" s="343">
        <f t="shared" si="23"/>
        <v>15.542038918125078</v>
      </c>
      <c r="N474" s="344">
        <f ca="1" t="shared" si="21"/>
        <v>153</v>
      </c>
      <c r="O474" s="33">
        <v>1</v>
      </c>
      <c r="P474" s="340" t="s">
        <v>385</v>
      </c>
    </row>
    <row r="475" spans="2:16" ht="39.75" customHeight="1">
      <c r="B475" s="25">
        <v>40010</v>
      </c>
      <c r="C475" s="340" t="s">
        <v>379</v>
      </c>
      <c r="D475" s="2" t="s">
        <v>1135</v>
      </c>
      <c r="E475" s="1" t="s">
        <v>279</v>
      </c>
      <c r="F475" s="2" t="s">
        <v>42</v>
      </c>
      <c r="G475" s="2" t="s">
        <v>1825</v>
      </c>
      <c r="H475" s="2" t="s">
        <v>762</v>
      </c>
      <c r="I475" s="356">
        <v>18720</v>
      </c>
      <c r="J475" s="342">
        <v>36.07</v>
      </c>
      <c r="K475" s="357">
        <f t="shared" si="22"/>
        <v>518.9908511228167</v>
      </c>
      <c r="L475" s="476">
        <v>60</v>
      </c>
      <c r="M475" s="343">
        <f t="shared" si="23"/>
        <v>312</v>
      </c>
      <c r="N475" s="344">
        <f ca="1" t="shared" si="21"/>
        <v>152</v>
      </c>
      <c r="O475" s="358">
        <v>1</v>
      </c>
      <c r="P475" s="340" t="s">
        <v>525</v>
      </c>
    </row>
    <row r="476" spans="2:16" ht="39.75" customHeight="1">
      <c r="B476" s="25">
        <v>40010</v>
      </c>
      <c r="C476" s="340" t="s">
        <v>379</v>
      </c>
      <c r="D476" s="2" t="s">
        <v>1210</v>
      </c>
      <c r="E476" s="26" t="s">
        <v>279</v>
      </c>
      <c r="F476" s="2" t="s">
        <v>42</v>
      </c>
      <c r="G476" s="2" t="s">
        <v>1827</v>
      </c>
      <c r="H476" s="2" t="s">
        <v>158</v>
      </c>
      <c r="I476" s="356">
        <v>18720</v>
      </c>
      <c r="J476" s="342">
        <v>36.07</v>
      </c>
      <c r="K476" s="357">
        <f t="shared" si="22"/>
        <v>518.9908511228167</v>
      </c>
      <c r="L476" s="476">
        <v>60</v>
      </c>
      <c r="M476" s="343">
        <f t="shared" si="23"/>
        <v>312</v>
      </c>
      <c r="N476" s="344">
        <f ca="1" t="shared" si="21"/>
        <v>152</v>
      </c>
      <c r="O476" s="358">
        <v>1</v>
      </c>
      <c r="P476" s="340" t="s">
        <v>525</v>
      </c>
    </row>
    <row r="477" spans="2:16" ht="39.75" customHeight="1">
      <c r="B477" s="25">
        <v>40010</v>
      </c>
      <c r="C477" s="340" t="s">
        <v>379</v>
      </c>
      <c r="D477" s="2" t="s">
        <v>1211</v>
      </c>
      <c r="E477" s="26" t="s">
        <v>279</v>
      </c>
      <c r="F477" s="2" t="s">
        <v>42</v>
      </c>
      <c r="G477" s="2" t="s">
        <v>1827</v>
      </c>
      <c r="H477" s="2" t="s">
        <v>158</v>
      </c>
      <c r="I477" s="356">
        <v>18720</v>
      </c>
      <c r="J477" s="342">
        <v>36.07</v>
      </c>
      <c r="K477" s="357">
        <f t="shared" si="22"/>
        <v>518.9908511228167</v>
      </c>
      <c r="L477" s="476">
        <v>60</v>
      </c>
      <c r="M477" s="343">
        <f t="shared" si="23"/>
        <v>312</v>
      </c>
      <c r="N477" s="344">
        <f ca="1" t="shared" si="21"/>
        <v>152</v>
      </c>
      <c r="O477" s="358">
        <v>1</v>
      </c>
      <c r="P477" s="340" t="s">
        <v>525</v>
      </c>
    </row>
    <row r="478" spans="2:16" ht="39.75" customHeight="1">
      <c r="B478" s="25">
        <v>40010</v>
      </c>
      <c r="C478" s="340" t="s">
        <v>379</v>
      </c>
      <c r="D478" s="2" t="s">
        <v>1202</v>
      </c>
      <c r="E478" s="26" t="s">
        <v>279</v>
      </c>
      <c r="F478" s="2" t="s">
        <v>42</v>
      </c>
      <c r="G478" s="2" t="s">
        <v>821</v>
      </c>
      <c r="H478" s="2" t="s">
        <v>380</v>
      </c>
      <c r="I478" s="201">
        <v>18720</v>
      </c>
      <c r="J478" s="342">
        <v>36.07</v>
      </c>
      <c r="K478" s="357">
        <f t="shared" si="22"/>
        <v>518.9908511228167</v>
      </c>
      <c r="L478" s="477">
        <v>60</v>
      </c>
      <c r="M478" s="343">
        <f t="shared" si="23"/>
        <v>312</v>
      </c>
      <c r="N478" s="344">
        <f ca="1" t="shared" si="21"/>
        <v>152</v>
      </c>
      <c r="O478" s="33">
        <v>1</v>
      </c>
      <c r="P478" s="340" t="s">
        <v>525</v>
      </c>
    </row>
    <row r="479" spans="2:16" ht="39.75" customHeight="1">
      <c r="B479" s="25">
        <v>40010</v>
      </c>
      <c r="C479" s="340" t="s">
        <v>379</v>
      </c>
      <c r="D479" s="2" t="s">
        <v>1203</v>
      </c>
      <c r="E479" s="26" t="s">
        <v>279</v>
      </c>
      <c r="F479" s="2" t="s">
        <v>42</v>
      </c>
      <c r="G479" s="2" t="s">
        <v>821</v>
      </c>
      <c r="H479" s="2" t="s">
        <v>380</v>
      </c>
      <c r="I479" s="201">
        <v>18720</v>
      </c>
      <c r="J479" s="342">
        <v>36.07</v>
      </c>
      <c r="K479" s="357">
        <f t="shared" si="22"/>
        <v>518.9908511228167</v>
      </c>
      <c r="L479" s="477">
        <v>60</v>
      </c>
      <c r="M479" s="343">
        <f t="shared" si="23"/>
        <v>312</v>
      </c>
      <c r="N479" s="344">
        <f ca="1" t="shared" si="21"/>
        <v>152</v>
      </c>
      <c r="O479" s="33">
        <v>1</v>
      </c>
      <c r="P479" s="340" t="s">
        <v>525</v>
      </c>
    </row>
    <row r="480" spans="2:16" ht="39.75" customHeight="1">
      <c r="B480" s="25">
        <v>40010</v>
      </c>
      <c r="C480" s="340" t="s">
        <v>379</v>
      </c>
      <c r="D480" s="2" t="s">
        <v>1697</v>
      </c>
      <c r="E480" s="26" t="s">
        <v>279</v>
      </c>
      <c r="F480" s="2" t="s">
        <v>42</v>
      </c>
      <c r="G480" s="2" t="s">
        <v>1872</v>
      </c>
      <c r="H480" s="2" t="s">
        <v>27</v>
      </c>
      <c r="I480" s="356">
        <v>18720</v>
      </c>
      <c r="J480" s="342">
        <v>36.07</v>
      </c>
      <c r="K480" s="357">
        <f t="shared" si="22"/>
        <v>518.9908511228167</v>
      </c>
      <c r="L480" s="476">
        <v>60</v>
      </c>
      <c r="M480" s="343">
        <f t="shared" si="23"/>
        <v>312</v>
      </c>
      <c r="N480" s="344">
        <f ca="1" t="shared" si="21"/>
        <v>152</v>
      </c>
      <c r="O480" s="358">
        <v>1</v>
      </c>
      <c r="P480" s="340" t="s">
        <v>525</v>
      </c>
    </row>
    <row r="481" spans="2:16" ht="39.75" customHeight="1">
      <c r="B481" s="25">
        <v>40016</v>
      </c>
      <c r="C481" s="340" t="s">
        <v>286</v>
      </c>
      <c r="D481" s="2" t="s">
        <v>1456</v>
      </c>
      <c r="E481" s="1" t="s">
        <v>10</v>
      </c>
      <c r="F481" s="2" t="s">
        <v>42</v>
      </c>
      <c r="G481" s="2" t="s">
        <v>1864</v>
      </c>
      <c r="H481" s="2" t="s">
        <v>196</v>
      </c>
      <c r="I481" s="356">
        <v>12347</v>
      </c>
      <c r="J481" s="342">
        <v>35.99</v>
      </c>
      <c r="K481" s="357">
        <f t="shared" si="22"/>
        <v>343.0675187552098</v>
      </c>
      <c r="L481" s="476">
        <v>60</v>
      </c>
      <c r="M481" s="343">
        <f t="shared" si="23"/>
        <v>205.78333333333333</v>
      </c>
      <c r="N481" s="344">
        <f ca="1" t="shared" si="21"/>
        <v>152</v>
      </c>
      <c r="O481" s="358">
        <v>1</v>
      </c>
      <c r="P481" s="340" t="s">
        <v>287</v>
      </c>
    </row>
    <row r="482" spans="2:16" ht="39.75" customHeight="1">
      <c r="B482" s="25">
        <v>40016</v>
      </c>
      <c r="C482" s="340" t="s">
        <v>286</v>
      </c>
      <c r="D482" s="2" t="s">
        <v>1449</v>
      </c>
      <c r="E482" s="1" t="s">
        <v>127</v>
      </c>
      <c r="F482" s="2" t="s">
        <v>42</v>
      </c>
      <c r="G482" s="2" t="s">
        <v>1863</v>
      </c>
      <c r="H482" s="2" t="s">
        <v>195</v>
      </c>
      <c r="I482" s="201">
        <v>6300</v>
      </c>
      <c r="J482" s="342">
        <v>35.99</v>
      </c>
      <c r="K482" s="357">
        <f t="shared" si="22"/>
        <v>175.04862461794943</v>
      </c>
      <c r="L482" s="477">
        <v>60</v>
      </c>
      <c r="M482" s="343">
        <f t="shared" si="23"/>
        <v>105</v>
      </c>
      <c r="N482" s="344">
        <f ca="1" t="shared" si="21"/>
        <v>152</v>
      </c>
      <c r="O482" s="33">
        <v>1</v>
      </c>
      <c r="P482" s="340" t="s">
        <v>287</v>
      </c>
    </row>
    <row r="483" spans="2:16" ht="39.75" customHeight="1">
      <c r="B483" s="25">
        <v>40016</v>
      </c>
      <c r="C483" s="340" t="s">
        <v>286</v>
      </c>
      <c r="D483" s="2" t="s">
        <v>1450</v>
      </c>
      <c r="E483" s="1" t="s">
        <v>10</v>
      </c>
      <c r="F483" s="2" t="s">
        <v>42</v>
      </c>
      <c r="G483" s="2" t="s">
        <v>1863</v>
      </c>
      <c r="H483" s="2" t="s">
        <v>195</v>
      </c>
      <c r="I483" s="201">
        <v>12347</v>
      </c>
      <c r="J483" s="342">
        <v>35.99</v>
      </c>
      <c r="K483" s="357">
        <f t="shared" si="22"/>
        <v>343.0675187552098</v>
      </c>
      <c r="L483" s="477">
        <v>60</v>
      </c>
      <c r="M483" s="343">
        <f t="shared" si="23"/>
        <v>205.78333333333333</v>
      </c>
      <c r="N483" s="344">
        <f ca="1" t="shared" si="21"/>
        <v>152</v>
      </c>
      <c r="O483" s="33">
        <v>1</v>
      </c>
      <c r="P483" s="340" t="s">
        <v>287</v>
      </c>
    </row>
    <row r="484" spans="2:16" ht="39.75" customHeight="1">
      <c r="B484" s="25">
        <v>40016</v>
      </c>
      <c r="C484" s="340" t="s">
        <v>286</v>
      </c>
      <c r="D484" s="2" t="s">
        <v>1451</v>
      </c>
      <c r="E484" s="1" t="s">
        <v>121</v>
      </c>
      <c r="F484" s="2" t="s">
        <v>42</v>
      </c>
      <c r="G484" s="2" t="s">
        <v>1863</v>
      </c>
      <c r="H484" s="2" t="s">
        <v>195</v>
      </c>
      <c r="I484" s="201">
        <v>2426</v>
      </c>
      <c r="J484" s="342">
        <v>35.99</v>
      </c>
      <c r="K484" s="357">
        <f t="shared" si="22"/>
        <v>67.40761322589609</v>
      </c>
      <c r="L484" s="477">
        <v>60</v>
      </c>
      <c r="M484" s="343">
        <f t="shared" si="23"/>
        <v>40.43333333333333</v>
      </c>
      <c r="N484" s="344">
        <f ca="1" t="shared" si="21"/>
        <v>152</v>
      </c>
      <c r="O484" s="33">
        <v>1</v>
      </c>
      <c r="P484" s="340" t="s">
        <v>287</v>
      </c>
    </row>
    <row r="485" spans="2:16" ht="39.75" customHeight="1">
      <c r="B485" s="25">
        <v>40016</v>
      </c>
      <c r="C485" s="340" t="s">
        <v>286</v>
      </c>
      <c r="D485" s="2" t="s">
        <v>1452</v>
      </c>
      <c r="E485" s="1" t="s">
        <v>404</v>
      </c>
      <c r="F485" s="2" t="s">
        <v>42</v>
      </c>
      <c r="G485" s="2" t="s">
        <v>1863</v>
      </c>
      <c r="H485" s="2" t="s">
        <v>195</v>
      </c>
      <c r="I485" s="201">
        <v>4800</v>
      </c>
      <c r="J485" s="342">
        <v>35.99</v>
      </c>
      <c r="K485" s="357">
        <f t="shared" si="22"/>
        <v>133.3703806612948</v>
      </c>
      <c r="L485" s="477">
        <v>60</v>
      </c>
      <c r="M485" s="343">
        <f t="shared" si="23"/>
        <v>80</v>
      </c>
      <c r="N485" s="344">
        <f ca="1" t="shared" si="21"/>
        <v>152</v>
      </c>
      <c r="O485" s="33">
        <v>1</v>
      </c>
      <c r="P485" s="340" t="s">
        <v>287</v>
      </c>
    </row>
    <row r="486" spans="2:16" ht="39.75" customHeight="1">
      <c r="B486" s="25">
        <v>40016</v>
      </c>
      <c r="C486" s="340" t="s">
        <v>286</v>
      </c>
      <c r="D486" s="2" t="s">
        <v>1453</v>
      </c>
      <c r="E486" s="1" t="s">
        <v>404</v>
      </c>
      <c r="F486" s="2" t="s">
        <v>42</v>
      </c>
      <c r="G486" s="2" t="s">
        <v>1863</v>
      </c>
      <c r="H486" s="2" t="s">
        <v>195</v>
      </c>
      <c r="I486" s="201">
        <v>4800</v>
      </c>
      <c r="J486" s="342">
        <v>35.99</v>
      </c>
      <c r="K486" s="357">
        <f t="shared" si="22"/>
        <v>133.3703806612948</v>
      </c>
      <c r="L486" s="477">
        <v>60</v>
      </c>
      <c r="M486" s="343">
        <f t="shared" si="23"/>
        <v>80</v>
      </c>
      <c r="N486" s="344">
        <f ca="1" t="shared" si="21"/>
        <v>152</v>
      </c>
      <c r="O486" s="33">
        <v>1</v>
      </c>
      <c r="P486" s="340" t="s">
        <v>287</v>
      </c>
    </row>
    <row r="487" spans="2:16" ht="39.75" customHeight="1">
      <c r="B487" s="25">
        <v>40016</v>
      </c>
      <c r="C487" s="340" t="s">
        <v>286</v>
      </c>
      <c r="D487" s="2" t="s">
        <v>1454</v>
      </c>
      <c r="E487" s="1" t="s">
        <v>404</v>
      </c>
      <c r="F487" s="2" t="s">
        <v>42</v>
      </c>
      <c r="G487" s="2" t="s">
        <v>1863</v>
      </c>
      <c r="H487" s="2" t="s">
        <v>195</v>
      </c>
      <c r="I487" s="201">
        <v>4800</v>
      </c>
      <c r="J487" s="342">
        <v>35.99</v>
      </c>
      <c r="K487" s="357">
        <f t="shared" si="22"/>
        <v>133.3703806612948</v>
      </c>
      <c r="L487" s="477">
        <v>60</v>
      </c>
      <c r="M487" s="343">
        <f t="shared" si="23"/>
        <v>80</v>
      </c>
      <c r="N487" s="344">
        <f ca="1" t="shared" si="21"/>
        <v>152</v>
      </c>
      <c r="O487" s="33">
        <v>1</v>
      </c>
      <c r="P487" s="340" t="s">
        <v>287</v>
      </c>
    </row>
    <row r="488" spans="2:16" ht="39.75" customHeight="1">
      <c r="B488" s="25">
        <v>40016</v>
      </c>
      <c r="C488" s="340" t="s">
        <v>286</v>
      </c>
      <c r="D488" s="2" t="s">
        <v>1455</v>
      </c>
      <c r="E488" s="1" t="s">
        <v>404</v>
      </c>
      <c r="F488" s="2" t="s">
        <v>42</v>
      </c>
      <c r="G488" s="2" t="s">
        <v>1863</v>
      </c>
      <c r="H488" s="2" t="s">
        <v>195</v>
      </c>
      <c r="I488" s="201">
        <v>4800</v>
      </c>
      <c r="J488" s="342">
        <v>35.99</v>
      </c>
      <c r="K488" s="357">
        <f t="shared" si="22"/>
        <v>133.3703806612948</v>
      </c>
      <c r="L488" s="477">
        <v>60</v>
      </c>
      <c r="M488" s="343">
        <f t="shared" si="23"/>
        <v>80</v>
      </c>
      <c r="N488" s="344">
        <f ca="1" t="shared" si="21"/>
        <v>152</v>
      </c>
      <c r="O488" s="33">
        <v>1</v>
      </c>
      <c r="P488" s="340" t="s">
        <v>287</v>
      </c>
    </row>
    <row r="489" spans="2:16" ht="39.75" customHeight="1">
      <c r="B489" s="25">
        <v>40016</v>
      </c>
      <c r="C489" s="340" t="s">
        <v>286</v>
      </c>
      <c r="D489" s="2" t="s">
        <v>1416</v>
      </c>
      <c r="E489" s="26" t="s">
        <v>126</v>
      </c>
      <c r="F489" s="2" t="s">
        <v>42</v>
      </c>
      <c r="G489" s="2" t="s">
        <v>1858</v>
      </c>
      <c r="H489" s="2" t="s">
        <v>14</v>
      </c>
      <c r="I489" s="201">
        <v>1500</v>
      </c>
      <c r="J489" s="342">
        <v>35.99</v>
      </c>
      <c r="K489" s="357">
        <f t="shared" si="22"/>
        <v>41.678243956654626</v>
      </c>
      <c r="L489" s="477">
        <v>60</v>
      </c>
      <c r="M489" s="343">
        <f t="shared" si="23"/>
        <v>25</v>
      </c>
      <c r="N489" s="344">
        <f ca="1" t="shared" si="21"/>
        <v>152</v>
      </c>
      <c r="O489" s="33">
        <v>1</v>
      </c>
      <c r="P489" s="340" t="s">
        <v>287</v>
      </c>
    </row>
    <row r="490" spans="2:16" ht="39.75" customHeight="1">
      <c r="B490" s="25">
        <v>40016</v>
      </c>
      <c r="C490" s="340" t="s">
        <v>286</v>
      </c>
      <c r="D490" s="2" t="s">
        <v>1417</v>
      </c>
      <c r="E490" s="26" t="s">
        <v>346</v>
      </c>
      <c r="F490" s="2" t="s">
        <v>42</v>
      </c>
      <c r="G490" s="2" t="s">
        <v>1858</v>
      </c>
      <c r="H490" s="2" t="s">
        <v>14</v>
      </c>
      <c r="I490" s="201">
        <v>9512</v>
      </c>
      <c r="J490" s="342">
        <v>35.99</v>
      </c>
      <c r="K490" s="357">
        <f t="shared" si="22"/>
        <v>264.2956376771325</v>
      </c>
      <c r="L490" s="477">
        <v>60</v>
      </c>
      <c r="M490" s="343">
        <f t="shared" si="23"/>
        <v>158.53333333333333</v>
      </c>
      <c r="N490" s="344">
        <f ca="1" t="shared" si="21"/>
        <v>152</v>
      </c>
      <c r="O490" s="33">
        <v>1</v>
      </c>
      <c r="P490" s="340" t="s">
        <v>287</v>
      </c>
    </row>
    <row r="491" spans="2:16" ht="39.75" customHeight="1">
      <c r="B491" s="25">
        <v>40016</v>
      </c>
      <c r="C491" s="340" t="s">
        <v>286</v>
      </c>
      <c r="D491" s="2" t="s">
        <v>1418</v>
      </c>
      <c r="E491" s="26" t="s">
        <v>127</v>
      </c>
      <c r="F491" s="2" t="s">
        <v>42</v>
      </c>
      <c r="G491" s="2" t="s">
        <v>1858</v>
      </c>
      <c r="H491" s="2" t="s">
        <v>14</v>
      </c>
      <c r="I491" s="201">
        <v>6300</v>
      </c>
      <c r="J491" s="342">
        <v>35.99</v>
      </c>
      <c r="K491" s="357">
        <f t="shared" si="22"/>
        <v>175.04862461794943</v>
      </c>
      <c r="L491" s="477">
        <v>60</v>
      </c>
      <c r="M491" s="343">
        <f t="shared" si="23"/>
        <v>105</v>
      </c>
      <c r="N491" s="344">
        <f ca="1" t="shared" si="21"/>
        <v>152</v>
      </c>
      <c r="O491" s="33">
        <v>1</v>
      </c>
      <c r="P491" s="340" t="s">
        <v>287</v>
      </c>
    </row>
    <row r="492" spans="2:16" ht="39.75" customHeight="1">
      <c r="B492" s="25">
        <v>40016</v>
      </c>
      <c r="C492" s="340" t="s">
        <v>286</v>
      </c>
      <c r="D492" s="2" t="s">
        <v>1419</v>
      </c>
      <c r="E492" s="26" t="s">
        <v>10</v>
      </c>
      <c r="F492" s="2" t="s">
        <v>42</v>
      </c>
      <c r="G492" s="2" t="s">
        <v>1858</v>
      </c>
      <c r="H492" s="2" t="s">
        <v>14</v>
      </c>
      <c r="I492" s="201">
        <v>12347</v>
      </c>
      <c r="J492" s="342">
        <v>35.99</v>
      </c>
      <c r="K492" s="357">
        <f t="shared" si="22"/>
        <v>343.0675187552098</v>
      </c>
      <c r="L492" s="477">
        <v>60</v>
      </c>
      <c r="M492" s="343">
        <f t="shared" si="23"/>
        <v>205.78333333333333</v>
      </c>
      <c r="N492" s="344">
        <f ca="1" t="shared" si="21"/>
        <v>152</v>
      </c>
      <c r="O492" s="33">
        <v>1</v>
      </c>
      <c r="P492" s="340" t="s">
        <v>287</v>
      </c>
    </row>
    <row r="493" spans="2:16" ht="39.75" customHeight="1">
      <c r="B493" s="25">
        <v>40016</v>
      </c>
      <c r="C493" s="340" t="s">
        <v>286</v>
      </c>
      <c r="D493" s="2" t="s">
        <v>1420</v>
      </c>
      <c r="E493" s="26" t="s">
        <v>121</v>
      </c>
      <c r="F493" s="2" t="s">
        <v>42</v>
      </c>
      <c r="G493" s="2" t="s">
        <v>1858</v>
      </c>
      <c r="H493" s="2" t="s">
        <v>14</v>
      </c>
      <c r="I493" s="201">
        <v>2426</v>
      </c>
      <c r="J493" s="342">
        <v>35.99</v>
      </c>
      <c r="K493" s="357">
        <f t="shared" si="22"/>
        <v>67.40761322589609</v>
      </c>
      <c r="L493" s="477">
        <v>60</v>
      </c>
      <c r="M493" s="343">
        <f t="shared" si="23"/>
        <v>40.43333333333333</v>
      </c>
      <c r="N493" s="344">
        <f ca="1" t="shared" si="21"/>
        <v>152</v>
      </c>
      <c r="O493" s="33">
        <v>1</v>
      </c>
      <c r="P493" s="340" t="s">
        <v>287</v>
      </c>
    </row>
    <row r="494" spans="2:16" ht="39.75" customHeight="1">
      <c r="B494" s="25">
        <v>40016</v>
      </c>
      <c r="C494" s="340" t="s">
        <v>286</v>
      </c>
      <c r="D494" s="2" t="s">
        <v>1421</v>
      </c>
      <c r="E494" s="26" t="s">
        <v>404</v>
      </c>
      <c r="F494" s="2" t="s">
        <v>42</v>
      </c>
      <c r="G494" s="2" t="s">
        <v>1858</v>
      </c>
      <c r="H494" s="2" t="s">
        <v>14</v>
      </c>
      <c r="I494" s="201">
        <v>1200</v>
      </c>
      <c r="J494" s="342">
        <v>35.99</v>
      </c>
      <c r="K494" s="357">
        <f t="shared" si="22"/>
        <v>33.3425951653237</v>
      </c>
      <c r="L494" s="477">
        <v>60</v>
      </c>
      <c r="M494" s="343">
        <f t="shared" si="23"/>
        <v>20</v>
      </c>
      <c r="N494" s="344">
        <f ca="1" t="shared" si="21"/>
        <v>152</v>
      </c>
      <c r="O494" s="33">
        <v>1</v>
      </c>
      <c r="P494" s="340" t="s">
        <v>287</v>
      </c>
    </row>
    <row r="495" spans="2:16" ht="39.75" customHeight="1">
      <c r="B495" s="25">
        <v>40016</v>
      </c>
      <c r="C495" s="340" t="s">
        <v>286</v>
      </c>
      <c r="D495" s="2" t="s">
        <v>1422</v>
      </c>
      <c r="E495" s="26" t="s">
        <v>404</v>
      </c>
      <c r="F495" s="2" t="s">
        <v>42</v>
      </c>
      <c r="G495" s="2" t="s">
        <v>1858</v>
      </c>
      <c r="H495" s="2" t="s">
        <v>14</v>
      </c>
      <c r="I495" s="201">
        <v>1200</v>
      </c>
      <c r="J495" s="342">
        <v>35.99</v>
      </c>
      <c r="K495" s="357">
        <f t="shared" si="22"/>
        <v>33.3425951653237</v>
      </c>
      <c r="L495" s="477">
        <v>60</v>
      </c>
      <c r="M495" s="343">
        <f t="shared" si="23"/>
        <v>20</v>
      </c>
      <c r="N495" s="344">
        <f ca="1" t="shared" si="21"/>
        <v>152</v>
      </c>
      <c r="O495" s="33">
        <v>1</v>
      </c>
      <c r="P495" s="340" t="s">
        <v>287</v>
      </c>
    </row>
    <row r="496" spans="2:16" ht="39.75" customHeight="1">
      <c r="B496" s="25">
        <v>40016</v>
      </c>
      <c r="C496" s="340" t="s">
        <v>286</v>
      </c>
      <c r="D496" s="2" t="s">
        <v>1423</v>
      </c>
      <c r="E496" s="26" t="s">
        <v>404</v>
      </c>
      <c r="F496" s="2" t="s">
        <v>42</v>
      </c>
      <c r="G496" s="2" t="s">
        <v>1858</v>
      </c>
      <c r="H496" s="2" t="s">
        <v>14</v>
      </c>
      <c r="I496" s="201">
        <v>1200</v>
      </c>
      <c r="J496" s="342">
        <v>35.99</v>
      </c>
      <c r="K496" s="357">
        <f t="shared" si="22"/>
        <v>33.3425951653237</v>
      </c>
      <c r="L496" s="477">
        <v>60</v>
      </c>
      <c r="M496" s="343">
        <f t="shared" si="23"/>
        <v>20</v>
      </c>
      <c r="N496" s="344">
        <f ca="1" t="shared" si="21"/>
        <v>152</v>
      </c>
      <c r="O496" s="33">
        <v>1</v>
      </c>
      <c r="P496" s="340" t="s">
        <v>287</v>
      </c>
    </row>
    <row r="497" spans="2:16" ht="39.75" customHeight="1">
      <c r="B497" s="25">
        <v>40023</v>
      </c>
      <c r="C497" s="340" t="s">
        <v>286</v>
      </c>
      <c r="D497" s="2" t="s">
        <v>1404</v>
      </c>
      <c r="E497" s="26" t="s">
        <v>363</v>
      </c>
      <c r="F497" s="2" t="s">
        <v>42</v>
      </c>
      <c r="G497" s="2" t="s">
        <v>1857</v>
      </c>
      <c r="H497" s="2" t="s">
        <v>16</v>
      </c>
      <c r="I497" s="356">
        <v>2950</v>
      </c>
      <c r="J497" s="342">
        <v>35.99</v>
      </c>
      <c r="K497" s="357">
        <f t="shared" si="22"/>
        <v>81.96721311475409</v>
      </c>
      <c r="L497" s="476">
        <v>60</v>
      </c>
      <c r="M497" s="343">
        <f t="shared" si="23"/>
        <v>49.166666666666664</v>
      </c>
      <c r="N497" s="344">
        <f ca="1" t="shared" si="21"/>
        <v>151</v>
      </c>
      <c r="O497" s="358">
        <v>1</v>
      </c>
      <c r="P497" s="340" t="s">
        <v>287</v>
      </c>
    </row>
    <row r="498" spans="2:16" ht="39.75" customHeight="1">
      <c r="B498" s="25">
        <v>40023</v>
      </c>
      <c r="C498" s="340" t="s">
        <v>286</v>
      </c>
      <c r="D498" s="2" t="s">
        <v>1405</v>
      </c>
      <c r="E498" s="26" t="s">
        <v>346</v>
      </c>
      <c r="F498" s="2" t="s">
        <v>42</v>
      </c>
      <c r="G498" s="2" t="s">
        <v>1857</v>
      </c>
      <c r="H498" s="2" t="s">
        <v>16</v>
      </c>
      <c r="I498" s="356">
        <v>9000</v>
      </c>
      <c r="J498" s="342">
        <v>35.99</v>
      </c>
      <c r="K498" s="357">
        <f t="shared" si="22"/>
        <v>250.06946373992776</v>
      </c>
      <c r="L498" s="476">
        <v>60</v>
      </c>
      <c r="M498" s="343">
        <f t="shared" si="23"/>
        <v>150</v>
      </c>
      <c r="N498" s="344">
        <f ca="1" t="shared" si="21"/>
        <v>151</v>
      </c>
      <c r="O498" s="358">
        <v>1</v>
      </c>
      <c r="P498" s="340" t="s">
        <v>287</v>
      </c>
    </row>
    <row r="499" spans="2:16" ht="39.75" customHeight="1">
      <c r="B499" s="25">
        <v>40023</v>
      </c>
      <c r="C499" s="340" t="s">
        <v>286</v>
      </c>
      <c r="D499" s="2" t="s">
        <v>1406</v>
      </c>
      <c r="E499" s="26" t="s">
        <v>10</v>
      </c>
      <c r="F499" s="2" t="s">
        <v>42</v>
      </c>
      <c r="G499" s="2" t="s">
        <v>1857</v>
      </c>
      <c r="H499" s="2" t="s">
        <v>16</v>
      </c>
      <c r="I499" s="356">
        <v>16905</v>
      </c>
      <c r="J499" s="342">
        <v>35.99</v>
      </c>
      <c r="K499" s="357">
        <f t="shared" si="22"/>
        <v>469.7138093914976</v>
      </c>
      <c r="L499" s="476">
        <v>60</v>
      </c>
      <c r="M499" s="343">
        <f t="shared" si="23"/>
        <v>281.75</v>
      </c>
      <c r="N499" s="344">
        <f ca="1" t="shared" si="21"/>
        <v>151</v>
      </c>
      <c r="O499" s="358">
        <v>1</v>
      </c>
      <c r="P499" s="340" t="s">
        <v>287</v>
      </c>
    </row>
    <row r="500" spans="2:16" ht="39.75" customHeight="1">
      <c r="B500" s="25">
        <v>40023</v>
      </c>
      <c r="C500" s="340" t="s">
        <v>286</v>
      </c>
      <c r="D500" s="2" t="s">
        <v>1407</v>
      </c>
      <c r="E500" s="26" t="s">
        <v>121</v>
      </c>
      <c r="F500" s="2" t="s">
        <v>42</v>
      </c>
      <c r="G500" s="2" t="s">
        <v>1857</v>
      </c>
      <c r="H500" s="2" t="s">
        <v>16</v>
      </c>
      <c r="I500" s="356">
        <v>5060</v>
      </c>
      <c r="J500" s="342">
        <v>35.99</v>
      </c>
      <c r="K500" s="357">
        <f t="shared" si="22"/>
        <v>140.59460961378159</v>
      </c>
      <c r="L500" s="476">
        <v>60</v>
      </c>
      <c r="M500" s="343">
        <f t="shared" si="23"/>
        <v>84.33333333333333</v>
      </c>
      <c r="N500" s="344">
        <f ca="1" t="shared" si="21"/>
        <v>151</v>
      </c>
      <c r="O500" s="358">
        <v>1</v>
      </c>
      <c r="P500" s="340" t="s">
        <v>287</v>
      </c>
    </row>
    <row r="501" spans="2:16" ht="39.75" customHeight="1">
      <c r="B501" s="25">
        <v>40023</v>
      </c>
      <c r="C501" s="340" t="s">
        <v>286</v>
      </c>
      <c r="D501" s="2" t="s">
        <v>1408</v>
      </c>
      <c r="E501" s="26" t="s">
        <v>404</v>
      </c>
      <c r="F501" s="2" t="s">
        <v>42</v>
      </c>
      <c r="G501" s="2" t="s">
        <v>1857</v>
      </c>
      <c r="H501" s="2" t="s">
        <v>16</v>
      </c>
      <c r="I501" s="356">
        <v>1260</v>
      </c>
      <c r="J501" s="342">
        <v>35.99</v>
      </c>
      <c r="K501" s="357">
        <f t="shared" si="22"/>
        <v>35.009724923589886</v>
      </c>
      <c r="L501" s="476">
        <v>60</v>
      </c>
      <c r="M501" s="343">
        <f t="shared" si="23"/>
        <v>21</v>
      </c>
      <c r="N501" s="344">
        <f ca="1" t="shared" si="21"/>
        <v>151</v>
      </c>
      <c r="O501" s="358">
        <v>1</v>
      </c>
      <c r="P501" s="340" t="s">
        <v>287</v>
      </c>
    </row>
    <row r="502" spans="2:16" ht="39.75" customHeight="1">
      <c r="B502" s="25">
        <v>40023</v>
      </c>
      <c r="C502" s="340" t="s">
        <v>286</v>
      </c>
      <c r="D502" s="2" t="s">
        <v>1409</v>
      </c>
      <c r="E502" s="26" t="s">
        <v>404</v>
      </c>
      <c r="F502" s="2" t="s">
        <v>42</v>
      </c>
      <c r="G502" s="2" t="s">
        <v>1857</v>
      </c>
      <c r="H502" s="2" t="s">
        <v>16</v>
      </c>
      <c r="I502" s="356">
        <v>1260</v>
      </c>
      <c r="J502" s="342">
        <v>35.99</v>
      </c>
      <c r="K502" s="357">
        <f t="shared" si="22"/>
        <v>35.009724923589886</v>
      </c>
      <c r="L502" s="476">
        <v>60</v>
      </c>
      <c r="M502" s="343">
        <f t="shared" si="23"/>
        <v>21</v>
      </c>
      <c r="N502" s="344">
        <f ca="1" t="shared" si="21"/>
        <v>151</v>
      </c>
      <c r="O502" s="358">
        <v>1</v>
      </c>
      <c r="P502" s="340" t="s">
        <v>287</v>
      </c>
    </row>
    <row r="503" spans="2:16" ht="39.75" customHeight="1">
      <c r="B503" s="25">
        <v>40023</v>
      </c>
      <c r="C503" s="340" t="s">
        <v>286</v>
      </c>
      <c r="D503" s="2" t="s">
        <v>1410</v>
      </c>
      <c r="E503" s="26" t="s">
        <v>404</v>
      </c>
      <c r="F503" s="2" t="s">
        <v>42</v>
      </c>
      <c r="G503" s="2" t="s">
        <v>1857</v>
      </c>
      <c r="H503" s="2" t="s">
        <v>16</v>
      </c>
      <c r="I503" s="356">
        <v>1260</v>
      </c>
      <c r="J503" s="342">
        <v>35.99</v>
      </c>
      <c r="K503" s="357">
        <f t="shared" si="22"/>
        <v>35.009724923589886</v>
      </c>
      <c r="L503" s="476">
        <v>60</v>
      </c>
      <c r="M503" s="343">
        <f t="shared" si="23"/>
        <v>21</v>
      </c>
      <c r="N503" s="344">
        <f ca="1" t="shared" si="21"/>
        <v>151</v>
      </c>
      <c r="O503" s="358">
        <v>1</v>
      </c>
      <c r="P503" s="340" t="s">
        <v>287</v>
      </c>
    </row>
    <row r="504" spans="2:16" ht="39.75" customHeight="1">
      <c r="B504" s="25">
        <v>40023</v>
      </c>
      <c r="C504" s="340" t="s">
        <v>286</v>
      </c>
      <c r="D504" s="2" t="s">
        <v>1411</v>
      </c>
      <c r="E504" s="26" t="s">
        <v>404</v>
      </c>
      <c r="F504" s="2" t="s">
        <v>42</v>
      </c>
      <c r="G504" s="2" t="s">
        <v>1857</v>
      </c>
      <c r="H504" s="2" t="s">
        <v>16</v>
      </c>
      <c r="I504" s="356">
        <v>1260</v>
      </c>
      <c r="J504" s="342">
        <v>35.99</v>
      </c>
      <c r="K504" s="357">
        <f t="shared" si="22"/>
        <v>35.009724923589886</v>
      </c>
      <c r="L504" s="476">
        <v>60</v>
      </c>
      <c r="M504" s="343">
        <f t="shared" si="23"/>
        <v>21</v>
      </c>
      <c r="N504" s="344">
        <f ca="1" t="shared" si="21"/>
        <v>151</v>
      </c>
      <c r="O504" s="358">
        <v>1</v>
      </c>
      <c r="P504" s="340" t="s">
        <v>287</v>
      </c>
    </row>
    <row r="505" spans="2:16" ht="39.75" customHeight="1">
      <c r="B505" s="25">
        <v>40023</v>
      </c>
      <c r="C505" s="340" t="s">
        <v>286</v>
      </c>
      <c r="D505" s="2" t="s">
        <v>1412</v>
      </c>
      <c r="E505" s="26" t="s">
        <v>404</v>
      </c>
      <c r="F505" s="2" t="s">
        <v>42</v>
      </c>
      <c r="G505" s="2" t="s">
        <v>1857</v>
      </c>
      <c r="H505" s="2" t="s">
        <v>16</v>
      </c>
      <c r="I505" s="356">
        <v>1260</v>
      </c>
      <c r="J505" s="342">
        <v>35.99</v>
      </c>
      <c r="K505" s="357">
        <f t="shared" si="22"/>
        <v>35.009724923589886</v>
      </c>
      <c r="L505" s="476">
        <v>60</v>
      </c>
      <c r="M505" s="343">
        <f t="shared" si="23"/>
        <v>21</v>
      </c>
      <c r="N505" s="344">
        <f ca="1" t="shared" si="21"/>
        <v>151</v>
      </c>
      <c r="O505" s="358">
        <v>1</v>
      </c>
      <c r="P505" s="340" t="s">
        <v>287</v>
      </c>
    </row>
    <row r="506" spans="2:16" ht="39.75" customHeight="1">
      <c r="B506" s="25">
        <v>40023</v>
      </c>
      <c r="C506" s="340" t="s">
        <v>286</v>
      </c>
      <c r="D506" s="2" t="s">
        <v>1413</v>
      </c>
      <c r="E506" s="26" t="s">
        <v>404</v>
      </c>
      <c r="F506" s="2" t="s">
        <v>42</v>
      </c>
      <c r="G506" s="2" t="s">
        <v>1857</v>
      </c>
      <c r="H506" s="2" t="s">
        <v>16</v>
      </c>
      <c r="I506" s="356">
        <v>1260</v>
      </c>
      <c r="J506" s="342">
        <v>35.99</v>
      </c>
      <c r="K506" s="357">
        <f t="shared" si="22"/>
        <v>35.009724923589886</v>
      </c>
      <c r="L506" s="476">
        <v>60</v>
      </c>
      <c r="M506" s="343">
        <f t="shared" si="23"/>
        <v>21</v>
      </c>
      <c r="N506" s="344">
        <f ca="1" t="shared" si="21"/>
        <v>151</v>
      </c>
      <c r="O506" s="358">
        <v>1</v>
      </c>
      <c r="P506" s="340" t="s">
        <v>287</v>
      </c>
    </row>
    <row r="507" spans="2:16" ht="39.75" customHeight="1">
      <c r="B507" s="25">
        <v>40023</v>
      </c>
      <c r="C507" s="340" t="s">
        <v>286</v>
      </c>
      <c r="D507" s="2" t="s">
        <v>1414</v>
      </c>
      <c r="E507" s="26" t="s">
        <v>404</v>
      </c>
      <c r="F507" s="2" t="s">
        <v>42</v>
      </c>
      <c r="G507" s="2" t="s">
        <v>1857</v>
      </c>
      <c r="H507" s="2" t="s">
        <v>16</v>
      </c>
      <c r="I507" s="356">
        <v>1260</v>
      </c>
      <c r="J507" s="342">
        <v>35.99</v>
      </c>
      <c r="K507" s="357">
        <f t="shared" si="22"/>
        <v>35.009724923589886</v>
      </c>
      <c r="L507" s="476">
        <v>60</v>
      </c>
      <c r="M507" s="343">
        <f t="shared" si="23"/>
        <v>21</v>
      </c>
      <c r="N507" s="344">
        <f ca="1" t="shared" si="21"/>
        <v>151</v>
      </c>
      <c r="O507" s="358">
        <v>1</v>
      </c>
      <c r="P507" s="340" t="s">
        <v>287</v>
      </c>
    </row>
    <row r="508" spans="2:16" ht="39.75" customHeight="1">
      <c r="B508" s="25">
        <v>40023</v>
      </c>
      <c r="C508" s="340" t="s">
        <v>286</v>
      </c>
      <c r="D508" s="2" t="s">
        <v>1415</v>
      </c>
      <c r="E508" s="26" t="s">
        <v>404</v>
      </c>
      <c r="F508" s="2" t="s">
        <v>42</v>
      </c>
      <c r="G508" s="2" t="s">
        <v>1857</v>
      </c>
      <c r="H508" s="2" t="s">
        <v>16</v>
      </c>
      <c r="I508" s="356">
        <v>1260</v>
      </c>
      <c r="J508" s="342">
        <v>35.99</v>
      </c>
      <c r="K508" s="357">
        <f t="shared" si="22"/>
        <v>35.009724923589886</v>
      </c>
      <c r="L508" s="476">
        <v>60</v>
      </c>
      <c r="M508" s="343">
        <f t="shared" si="23"/>
        <v>21</v>
      </c>
      <c r="N508" s="344">
        <f ca="1" t="shared" si="21"/>
        <v>151</v>
      </c>
      <c r="O508" s="358">
        <v>1</v>
      </c>
      <c r="P508" s="340" t="s">
        <v>287</v>
      </c>
    </row>
    <row r="509" spans="2:16" ht="39.75" customHeight="1">
      <c r="B509" s="25">
        <v>40023</v>
      </c>
      <c r="C509" s="340" t="s">
        <v>286</v>
      </c>
      <c r="D509" s="2" t="s">
        <v>1388</v>
      </c>
      <c r="E509" s="26" t="s">
        <v>814</v>
      </c>
      <c r="F509" s="2" t="s">
        <v>42</v>
      </c>
      <c r="G509" s="2" t="s">
        <v>1856</v>
      </c>
      <c r="H509" s="2" t="s">
        <v>15</v>
      </c>
      <c r="I509" s="356">
        <v>4950</v>
      </c>
      <c r="J509" s="342">
        <v>35.99</v>
      </c>
      <c r="K509" s="357">
        <f t="shared" si="22"/>
        <v>137.53820505696027</v>
      </c>
      <c r="L509" s="476">
        <v>60</v>
      </c>
      <c r="M509" s="343">
        <f t="shared" si="23"/>
        <v>82.5</v>
      </c>
      <c r="N509" s="344">
        <f ca="1" t="shared" si="21"/>
        <v>151</v>
      </c>
      <c r="O509" s="358">
        <v>1</v>
      </c>
      <c r="P509" s="340" t="s">
        <v>287</v>
      </c>
    </row>
    <row r="510" spans="2:16" ht="39.75" customHeight="1">
      <c r="B510" s="25">
        <v>40023</v>
      </c>
      <c r="C510" s="340" t="s">
        <v>286</v>
      </c>
      <c r="D510" s="2" t="s">
        <v>1389</v>
      </c>
      <c r="E510" s="26" t="s">
        <v>814</v>
      </c>
      <c r="F510" s="2" t="s">
        <v>42</v>
      </c>
      <c r="G510" s="2" t="s">
        <v>1856</v>
      </c>
      <c r="H510" s="2" t="s">
        <v>15</v>
      </c>
      <c r="I510" s="356">
        <v>4950</v>
      </c>
      <c r="J510" s="342">
        <v>35.99</v>
      </c>
      <c r="K510" s="357">
        <f t="shared" si="22"/>
        <v>137.53820505696027</v>
      </c>
      <c r="L510" s="476">
        <v>60</v>
      </c>
      <c r="M510" s="343">
        <f t="shared" si="23"/>
        <v>82.5</v>
      </c>
      <c r="N510" s="344">
        <f ca="1" t="shared" si="21"/>
        <v>151</v>
      </c>
      <c r="O510" s="358">
        <v>1</v>
      </c>
      <c r="P510" s="340" t="s">
        <v>287</v>
      </c>
    </row>
    <row r="511" spans="2:16" ht="39.75" customHeight="1">
      <c r="B511" s="25">
        <v>40023</v>
      </c>
      <c r="C511" s="340" t="s">
        <v>286</v>
      </c>
      <c r="D511" s="2" t="s">
        <v>1390</v>
      </c>
      <c r="E511" s="26" t="s">
        <v>346</v>
      </c>
      <c r="F511" s="2" t="s">
        <v>42</v>
      </c>
      <c r="G511" s="2" t="s">
        <v>1856</v>
      </c>
      <c r="H511" s="2" t="s">
        <v>15</v>
      </c>
      <c r="I511" s="356">
        <v>9000</v>
      </c>
      <c r="J511" s="342">
        <v>35.99</v>
      </c>
      <c r="K511" s="357">
        <f t="shared" si="22"/>
        <v>250.06946373992776</v>
      </c>
      <c r="L511" s="476">
        <v>60</v>
      </c>
      <c r="M511" s="343">
        <f t="shared" si="23"/>
        <v>150</v>
      </c>
      <c r="N511" s="344">
        <f ca="1" t="shared" si="21"/>
        <v>151</v>
      </c>
      <c r="O511" s="358">
        <v>1</v>
      </c>
      <c r="P511" s="340" t="s">
        <v>287</v>
      </c>
    </row>
    <row r="512" spans="2:16" ht="39.75" customHeight="1">
      <c r="B512" s="25">
        <v>40023</v>
      </c>
      <c r="C512" s="340" t="s">
        <v>286</v>
      </c>
      <c r="D512" s="2" t="s">
        <v>1391</v>
      </c>
      <c r="E512" s="26" t="s">
        <v>346</v>
      </c>
      <c r="F512" s="2" t="s">
        <v>42</v>
      </c>
      <c r="G512" s="2" t="s">
        <v>1856</v>
      </c>
      <c r="H512" s="2" t="s">
        <v>15</v>
      </c>
      <c r="I512" s="356">
        <v>9000</v>
      </c>
      <c r="J512" s="342">
        <v>35.99</v>
      </c>
      <c r="K512" s="357">
        <f t="shared" si="22"/>
        <v>250.06946373992776</v>
      </c>
      <c r="L512" s="476">
        <v>60</v>
      </c>
      <c r="M512" s="343">
        <f t="shared" si="23"/>
        <v>150</v>
      </c>
      <c r="N512" s="344">
        <f ca="1" t="shared" si="21"/>
        <v>151</v>
      </c>
      <c r="O512" s="358">
        <v>1</v>
      </c>
      <c r="P512" s="340" t="s">
        <v>287</v>
      </c>
    </row>
    <row r="513" spans="2:16" ht="39.75" customHeight="1">
      <c r="B513" s="25">
        <v>40023</v>
      </c>
      <c r="C513" s="340" t="s">
        <v>286</v>
      </c>
      <c r="D513" s="2" t="s">
        <v>1392</v>
      </c>
      <c r="E513" s="26" t="s">
        <v>384</v>
      </c>
      <c r="F513" s="2" t="s">
        <v>42</v>
      </c>
      <c r="G513" s="2" t="s">
        <v>1856</v>
      </c>
      <c r="H513" s="2" t="s">
        <v>15</v>
      </c>
      <c r="I513" s="356">
        <v>4135</v>
      </c>
      <c r="J513" s="342">
        <v>35.99</v>
      </c>
      <c r="K513" s="357">
        <f t="shared" si="22"/>
        <v>114.89302584051124</v>
      </c>
      <c r="L513" s="476">
        <v>60</v>
      </c>
      <c r="M513" s="343">
        <f t="shared" si="23"/>
        <v>68.91666666666667</v>
      </c>
      <c r="N513" s="344">
        <f ca="1" t="shared" si="21"/>
        <v>151</v>
      </c>
      <c r="O513" s="358">
        <v>1</v>
      </c>
      <c r="P513" s="340" t="s">
        <v>287</v>
      </c>
    </row>
    <row r="514" spans="2:16" ht="39.75" customHeight="1">
      <c r="B514" s="25">
        <v>40023</v>
      </c>
      <c r="C514" s="340" t="s">
        <v>286</v>
      </c>
      <c r="D514" s="2" t="s">
        <v>1402</v>
      </c>
      <c r="E514" s="26" t="s">
        <v>392</v>
      </c>
      <c r="F514" s="2" t="s">
        <v>42</v>
      </c>
      <c r="G514" s="2" t="s">
        <v>1856</v>
      </c>
      <c r="H514" s="2" t="s">
        <v>15</v>
      </c>
      <c r="I514" s="356">
        <v>13500</v>
      </c>
      <c r="J514" s="342">
        <v>35.99</v>
      </c>
      <c r="K514" s="357">
        <f t="shared" si="22"/>
        <v>375.10419560989163</v>
      </c>
      <c r="L514" s="476">
        <v>60</v>
      </c>
      <c r="M514" s="343">
        <f t="shared" si="23"/>
        <v>225</v>
      </c>
      <c r="N514" s="344">
        <f ca="1" t="shared" si="21"/>
        <v>151</v>
      </c>
      <c r="O514" s="358">
        <v>1</v>
      </c>
      <c r="P514" s="340" t="s">
        <v>287</v>
      </c>
    </row>
    <row r="515" spans="2:16" ht="39.75" customHeight="1">
      <c r="B515" s="25">
        <v>40023</v>
      </c>
      <c r="C515" s="340" t="s">
        <v>286</v>
      </c>
      <c r="D515" s="2" t="s">
        <v>1393</v>
      </c>
      <c r="E515" s="26" t="s">
        <v>360</v>
      </c>
      <c r="F515" s="2" t="s">
        <v>42</v>
      </c>
      <c r="G515" s="2" t="s">
        <v>1856</v>
      </c>
      <c r="H515" s="2" t="s">
        <v>15</v>
      </c>
      <c r="I515" s="356">
        <v>10700</v>
      </c>
      <c r="J515" s="342">
        <v>35.99</v>
      </c>
      <c r="K515" s="357">
        <f t="shared" si="22"/>
        <v>297.304806890803</v>
      </c>
      <c r="L515" s="476">
        <v>60</v>
      </c>
      <c r="M515" s="343">
        <f t="shared" si="23"/>
        <v>178.33333333333334</v>
      </c>
      <c r="N515" s="344">
        <f ca="1" t="shared" si="21"/>
        <v>151</v>
      </c>
      <c r="O515" s="358">
        <v>1</v>
      </c>
      <c r="P515" s="340" t="s">
        <v>287</v>
      </c>
    </row>
    <row r="516" spans="2:16" ht="39.75" customHeight="1">
      <c r="B516" s="25">
        <v>40023</v>
      </c>
      <c r="C516" s="340" t="s">
        <v>286</v>
      </c>
      <c r="D516" s="2" t="s">
        <v>1394</v>
      </c>
      <c r="E516" s="26" t="s">
        <v>388</v>
      </c>
      <c r="F516" s="2" t="s">
        <v>42</v>
      </c>
      <c r="G516" s="2" t="s">
        <v>1856</v>
      </c>
      <c r="H516" s="2" t="s">
        <v>15</v>
      </c>
      <c r="I516" s="356">
        <v>5440</v>
      </c>
      <c r="J516" s="342">
        <v>35.99</v>
      </c>
      <c r="K516" s="357">
        <f t="shared" si="22"/>
        <v>151.15309808280077</v>
      </c>
      <c r="L516" s="476">
        <v>60</v>
      </c>
      <c r="M516" s="343">
        <f t="shared" si="23"/>
        <v>90.66666666666667</v>
      </c>
      <c r="N516" s="344">
        <f ca="1" t="shared" si="21"/>
        <v>151</v>
      </c>
      <c r="O516" s="358">
        <v>1</v>
      </c>
      <c r="P516" s="340" t="s">
        <v>287</v>
      </c>
    </row>
    <row r="517" spans="2:16" ht="39.75" customHeight="1">
      <c r="B517" s="25">
        <v>40023</v>
      </c>
      <c r="C517" s="340" t="s">
        <v>286</v>
      </c>
      <c r="D517" s="2" t="s">
        <v>1398</v>
      </c>
      <c r="E517" s="26" t="s">
        <v>121</v>
      </c>
      <c r="F517" s="2" t="s">
        <v>42</v>
      </c>
      <c r="G517" s="2" t="s">
        <v>1856</v>
      </c>
      <c r="H517" s="2" t="s">
        <v>15</v>
      </c>
      <c r="I517" s="356">
        <v>5060</v>
      </c>
      <c r="J517" s="342">
        <v>35.99</v>
      </c>
      <c r="K517" s="357">
        <f t="shared" si="22"/>
        <v>140.59460961378159</v>
      </c>
      <c r="L517" s="476">
        <v>60</v>
      </c>
      <c r="M517" s="343">
        <f t="shared" si="23"/>
        <v>84.33333333333333</v>
      </c>
      <c r="N517" s="344">
        <f ca="1" t="shared" si="21"/>
        <v>151</v>
      </c>
      <c r="O517" s="358">
        <v>1</v>
      </c>
      <c r="P517" s="340" t="s">
        <v>287</v>
      </c>
    </row>
    <row r="518" spans="2:16" ht="39.75" customHeight="1">
      <c r="B518" s="25">
        <v>40023</v>
      </c>
      <c r="C518" s="340" t="s">
        <v>286</v>
      </c>
      <c r="D518" s="2" t="s">
        <v>1399</v>
      </c>
      <c r="E518" s="26" t="s">
        <v>404</v>
      </c>
      <c r="F518" s="2" t="s">
        <v>42</v>
      </c>
      <c r="G518" s="2" t="s">
        <v>1856</v>
      </c>
      <c r="H518" s="2" t="s">
        <v>15</v>
      </c>
      <c r="I518" s="356">
        <v>1260</v>
      </c>
      <c r="J518" s="342">
        <v>35.99</v>
      </c>
      <c r="K518" s="357">
        <f t="shared" si="22"/>
        <v>35.009724923589886</v>
      </c>
      <c r="L518" s="476">
        <v>60</v>
      </c>
      <c r="M518" s="343">
        <f t="shared" si="23"/>
        <v>21</v>
      </c>
      <c r="N518" s="344">
        <f ca="1" t="shared" si="21"/>
        <v>151</v>
      </c>
      <c r="O518" s="358">
        <v>1</v>
      </c>
      <c r="P518" s="340" t="s">
        <v>287</v>
      </c>
    </row>
    <row r="519" spans="2:16" ht="39.75" customHeight="1">
      <c r="B519" s="25">
        <v>40023</v>
      </c>
      <c r="C519" s="340" t="s">
        <v>286</v>
      </c>
      <c r="D519" s="2" t="s">
        <v>1396</v>
      </c>
      <c r="E519" s="26" t="s">
        <v>404</v>
      </c>
      <c r="F519" s="2" t="s">
        <v>42</v>
      </c>
      <c r="G519" s="2" t="s">
        <v>1856</v>
      </c>
      <c r="H519" s="2" t="s">
        <v>15</v>
      </c>
      <c r="I519" s="356">
        <v>1260</v>
      </c>
      <c r="J519" s="342">
        <v>35.99</v>
      </c>
      <c r="K519" s="357">
        <f t="shared" si="22"/>
        <v>35.009724923589886</v>
      </c>
      <c r="L519" s="476">
        <v>60</v>
      </c>
      <c r="M519" s="343">
        <f t="shared" si="23"/>
        <v>21</v>
      </c>
      <c r="N519" s="344">
        <f ca="1" t="shared" si="21"/>
        <v>151</v>
      </c>
      <c r="O519" s="358">
        <v>1</v>
      </c>
      <c r="P519" s="340" t="s">
        <v>287</v>
      </c>
    </row>
    <row r="520" spans="2:16" ht="39.75" customHeight="1">
      <c r="B520" s="25">
        <v>40023</v>
      </c>
      <c r="C520" s="340" t="s">
        <v>286</v>
      </c>
      <c r="D520" s="2" t="s">
        <v>1400</v>
      </c>
      <c r="E520" s="26" t="s">
        <v>404</v>
      </c>
      <c r="F520" s="2" t="s">
        <v>42</v>
      </c>
      <c r="G520" s="2" t="s">
        <v>1856</v>
      </c>
      <c r="H520" s="2" t="s">
        <v>15</v>
      </c>
      <c r="I520" s="356">
        <v>1260</v>
      </c>
      <c r="J520" s="342">
        <v>35.99</v>
      </c>
      <c r="K520" s="357">
        <f t="shared" si="22"/>
        <v>35.009724923589886</v>
      </c>
      <c r="L520" s="476">
        <v>60</v>
      </c>
      <c r="M520" s="343">
        <f t="shared" si="23"/>
        <v>21</v>
      </c>
      <c r="N520" s="344">
        <f aca="true" ca="1" t="shared" si="24" ref="N520:N583">IF(B520&lt;&gt;0,(ROUND((NOW()-B520)/30,0)),0)</f>
        <v>151</v>
      </c>
      <c r="O520" s="358">
        <v>1</v>
      </c>
      <c r="P520" s="340" t="s">
        <v>287</v>
      </c>
    </row>
    <row r="521" spans="2:16" ht="39.75" customHeight="1">
      <c r="B521" s="25">
        <v>40023</v>
      </c>
      <c r="C521" s="340" t="s">
        <v>286</v>
      </c>
      <c r="D521" s="2" t="s">
        <v>1401</v>
      </c>
      <c r="E521" s="26" t="s">
        <v>404</v>
      </c>
      <c r="F521" s="2" t="s">
        <v>42</v>
      </c>
      <c r="G521" s="2" t="s">
        <v>1856</v>
      </c>
      <c r="H521" s="2" t="s">
        <v>15</v>
      </c>
      <c r="I521" s="356">
        <v>1260</v>
      </c>
      <c r="J521" s="342">
        <v>35.99</v>
      </c>
      <c r="K521" s="357">
        <f aca="true" t="shared" si="25" ref="K521:K584">+I521/J521</f>
        <v>35.009724923589886</v>
      </c>
      <c r="L521" s="476">
        <v>60</v>
      </c>
      <c r="M521" s="343">
        <f aca="true" t="shared" si="26" ref="M521:M584">+I521/L601</f>
        <v>21</v>
      </c>
      <c r="N521" s="344">
        <f ca="1" t="shared" si="24"/>
        <v>151</v>
      </c>
      <c r="O521" s="358">
        <v>1</v>
      </c>
      <c r="P521" s="340" t="s">
        <v>287</v>
      </c>
    </row>
    <row r="522" spans="2:16" ht="39.75" customHeight="1">
      <c r="B522" s="25">
        <v>40023</v>
      </c>
      <c r="C522" s="340" t="s">
        <v>286</v>
      </c>
      <c r="D522" s="2" t="s">
        <v>1397</v>
      </c>
      <c r="E522" s="26" t="s">
        <v>361</v>
      </c>
      <c r="F522" s="2" t="s">
        <v>42</v>
      </c>
      <c r="G522" s="2" t="s">
        <v>1856</v>
      </c>
      <c r="H522" s="2" t="s">
        <v>15</v>
      </c>
      <c r="I522" s="356">
        <v>3200</v>
      </c>
      <c r="J522" s="342">
        <v>35.99</v>
      </c>
      <c r="K522" s="357">
        <f t="shared" si="25"/>
        <v>88.91358710752986</v>
      </c>
      <c r="L522" s="476">
        <v>60</v>
      </c>
      <c r="M522" s="343">
        <f t="shared" si="26"/>
        <v>53.333333333333336</v>
      </c>
      <c r="N522" s="344">
        <f ca="1" t="shared" si="24"/>
        <v>151</v>
      </c>
      <c r="O522" s="358">
        <v>1</v>
      </c>
      <c r="P522" s="340" t="s">
        <v>287</v>
      </c>
    </row>
    <row r="523" spans="2:16" ht="39.75" customHeight="1">
      <c r="B523" s="25">
        <v>40023</v>
      </c>
      <c r="C523" s="340" t="s">
        <v>286</v>
      </c>
      <c r="D523" s="2" t="s">
        <v>1403</v>
      </c>
      <c r="E523" s="26" t="s">
        <v>362</v>
      </c>
      <c r="F523" s="2" t="s">
        <v>42</v>
      </c>
      <c r="G523" s="2" t="s">
        <v>1856</v>
      </c>
      <c r="H523" s="2" t="s">
        <v>15</v>
      </c>
      <c r="I523" s="356">
        <v>14500</v>
      </c>
      <c r="J523" s="342">
        <v>35.99</v>
      </c>
      <c r="K523" s="357">
        <f t="shared" si="25"/>
        <v>402.8896915809947</v>
      </c>
      <c r="L523" s="476">
        <v>60</v>
      </c>
      <c r="M523" s="343">
        <f t="shared" si="26"/>
        <v>241.66666666666666</v>
      </c>
      <c r="N523" s="344">
        <f ca="1" t="shared" si="24"/>
        <v>151</v>
      </c>
      <c r="O523" s="358">
        <v>1</v>
      </c>
      <c r="P523" s="340" t="s">
        <v>287</v>
      </c>
    </row>
    <row r="524" spans="2:16" ht="39.75" customHeight="1">
      <c r="B524" s="25">
        <v>40023</v>
      </c>
      <c r="C524" s="340" t="s">
        <v>286</v>
      </c>
      <c r="D524" s="2" t="s">
        <v>1430</v>
      </c>
      <c r="E524" s="26" t="s">
        <v>364</v>
      </c>
      <c r="F524" s="2" t="s">
        <v>42</v>
      </c>
      <c r="G524" s="2" t="s">
        <v>1860</v>
      </c>
      <c r="H524" s="2" t="s">
        <v>18</v>
      </c>
      <c r="I524" s="356">
        <v>18500</v>
      </c>
      <c r="J524" s="342">
        <v>35.99</v>
      </c>
      <c r="K524" s="357">
        <f t="shared" si="25"/>
        <v>514.031675465407</v>
      </c>
      <c r="L524" s="476">
        <v>60</v>
      </c>
      <c r="M524" s="343">
        <f t="shared" si="26"/>
        <v>308.3333333333333</v>
      </c>
      <c r="N524" s="344">
        <f ca="1" t="shared" si="24"/>
        <v>151</v>
      </c>
      <c r="O524" s="358">
        <v>1</v>
      </c>
      <c r="P524" s="340" t="s">
        <v>287</v>
      </c>
    </row>
    <row r="525" spans="2:16" ht="39.75" customHeight="1">
      <c r="B525" s="25">
        <v>40023</v>
      </c>
      <c r="C525" s="340" t="s">
        <v>286</v>
      </c>
      <c r="D525" s="2" t="s">
        <v>1395</v>
      </c>
      <c r="E525" s="26" t="s">
        <v>346</v>
      </c>
      <c r="F525" s="2" t="s">
        <v>42</v>
      </c>
      <c r="G525" s="2" t="s">
        <v>1860</v>
      </c>
      <c r="H525" s="2" t="s">
        <v>18</v>
      </c>
      <c r="I525" s="356">
        <v>9000</v>
      </c>
      <c r="J525" s="342">
        <v>35.99</v>
      </c>
      <c r="K525" s="357">
        <f t="shared" si="25"/>
        <v>250.06946373992776</v>
      </c>
      <c r="L525" s="476">
        <v>60</v>
      </c>
      <c r="M525" s="343">
        <f t="shared" si="26"/>
        <v>150</v>
      </c>
      <c r="N525" s="344">
        <f ca="1" t="shared" si="24"/>
        <v>151</v>
      </c>
      <c r="O525" s="358">
        <v>1</v>
      </c>
      <c r="P525" s="340" t="s">
        <v>287</v>
      </c>
    </row>
    <row r="526" spans="2:16" ht="39.75" customHeight="1">
      <c r="B526" s="25">
        <v>40023</v>
      </c>
      <c r="C526" s="340" t="s">
        <v>286</v>
      </c>
      <c r="D526" s="2" t="s">
        <v>1431</v>
      </c>
      <c r="E526" s="26" t="s">
        <v>346</v>
      </c>
      <c r="F526" s="2" t="s">
        <v>42</v>
      </c>
      <c r="G526" s="2" t="s">
        <v>1860</v>
      </c>
      <c r="H526" s="2" t="s">
        <v>18</v>
      </c>
      <c r="I526" s="356">
        <v>9000</v>
      </c>
      <c r="J526" s="342">
        <v>35.99</v>
      </c>
      <c r="K526" s="357">
        <f t="shared" si="25"/>
        <v>250.06946373992776</v>
      </c>
      <c r="L526" s="476">
        <v>60</v>
      </c>
      <c r="M526" s="343">
        <f t="shared" si="26"/>
        <v>150</v>
      </c>
      <c r="N526" s="344">
        <f ca="1" t="shared" si="24"/>
        <v>151</v>
      </c>
      <c r="O526" s="358">
        <v>1</v>
      </c>
      <c r="P526" s="340" t="s">
        <v>287</v>
      </c>
    </row>
    <row r="527" spans="2:16" ht="39.75" customHeight="1">
      <c r="B527" s="25">
        <v>40023</v>
      </c>
      <c r="C527" s="340" t="s">
        <v>286</v>
      </c>
      <c r="D527" s="2" t="s">
        <v>1432</v>
      </c>
      <c r="E527" s="26" t="s">
        <v>282</v>
      </c>
      <c r="F527" s="2" t="s">
        <v>365</v>
      </c>
      <c r="G527" s="2" t="s">
        <v>1860</v>
      </c>
      <c r="H527" s="2" t="s">
        <v>18</v>
      </c>
      <c r="I527" s="356">
        <v>5500</v>
      </c>
      <c r="J527" s="342">
        <v>35.99</v>
      </c>
      <c r="K527" s="357">
        <f t="shared" si="25"/>
        <v>152.82022784106695</v>
      </c>
      <c r="L527" s="476">
        <v>60</v>
      </c>
      <c r="M527" s="343">
        <f t="shared" si="26"/>
        <v>91.66666666666667</v>
      </c>
      <c r="N527" s="344">
        <f ca="1" t="shared" si="24"/>
        <v>151</v>
      </c>
      <c r="O527" s="358">
        <v>1</v>
      </c>
      <c r="P527" s="340" t="s">
        <v>287</v>
      </c>
    </row>
    <row r="528" spans="2:16" ht="39.75" customHeight="1">
      <c r="B528" s="25">
        <v>40023</v>
      </c>
      <c r="C528" s="340" t="s">
        <v>286</v>
      </c>
      <c r="D528" s="2" t="s">
        <v>1433</v>
      </c>
      <c r="E528" s="26" t="s">
        <v>10</v>
      </c>
      <c r="F528" s="2" t="s">
        <v>42</v>
      </c>
      <c r="G528" s="2" t="s">
        <v>1860</v>
      </c>
      <c r="H528" s="2" t="s">
        <v>18</v>
      </c>
      <c r="I528" s="356">
        <v>16905</v>
      </c>
      <c r="J528" s="342">
        <v>35.99</v>
      </c>
      <c r="K528" s="357">
        <f t="shared" si="25"/>
        <v>469.7138093914976</v>
      </c>
      <c r="L528" s="476">
        <v>60</v>
      </c>
      <c r="M528" s="343">
        <f t="shared" si="26"/>
        <v>281.75</v>
      </c>
      <c r="N528" s="344">
        <f ca="1" t="shared" si="24"/>
        <v>151</v>
      </c>
      <c r="O528" s="358">
        <v>1</v>
      </c>
      <c r="P528" s="340" t="s">
        <v>287</v>
      </c>
    </row>
    <row r="529" spans="2:16" ht="39.75" customHeight="1">
      <c r="B529" s="25">
        <v>40023</v>
      </c>
      <c r="C529" s="340" t="s">
        <v>286</v>
      </c>
      <c r="D529" s="2" t="s">
        <v>1434</v>
      </c>
      <c r="E529" s="26" t="s">
        <v>121</v>
      </c>
      <c r="F529" s="2" t="s">
        <v>42</v>
      </c>
      <c r="G529" s="2" t="s">
        <v>1860</v>
      </c>
      <c r="H529" s="2" t="s">
        <v>18</v>
      </c>
      <c r="I529" s="356">
        <v>5060</v>
      </c>
      <c r="J529" s="342">
        <v>35.99</v>
      </c>
      <c r="K529" s="357">
        <f t="shared" si="25"/>
        <v>140.59460961378159</v>
      </c>
      <c r="L529" s="476">
        <v>60</v>
      </c>
      <c r="M529" s="343">
        <f t="shared" si="26"/>
        <v>84.33333333333333</v>
      </c>
      <c r="N529" s="344">
        <f ca="1" t="shared" si="24"/>
        <v>151</v>
      </c>
      <c r="O529" s="358">
        <v>1</v>
      </c>
      <c r="P529" s="340" t="s">
        <v>287</v>
      </c>
    </row>
    <row r="530" spans="2:16" ht="39.75" customHeight="1">
      <c r="B530" s="25">
        <v>40023</v>
      </c>
      <c r="C530" s="340" t="s">
        <v>286</v>
      </c>
      <c r="D530" s="2" t="s">
        <v>1435</v>
      </c>
      <c r="E530" s="26" t="s">
        <v>404</v>
      </c>
      <c r="F530" s="2" t="s">
        <v>42</v>
      </c>
      <c r="G530" s="2" t="s">
        <v>1860</v>
      </c>
      <c r="H530" s="2" t="s">
        <v>18</v>
      </c>
      <c r="I530" s="356">
        <v>1260</v>
      </c>
      <c r="J530" s="342">
        <v>35.99</v>
      </c>
      <c r="K530" s="357">
        <f t="shared" si="25"/>
        <v>35.009724923589886</v>
      </c>
      <c r="L530" s="476">
        <v>60</v>
      </c>
      <c r="M530" s="343">
        <f t="shared" si="26"/>
        <v>21</v>
      </c>
      <c r="N530" s="344">
        <f ca="1" t="shared" si="24"/>
        <v>151</v>
      </c>
      <c r="O530" s="358">
        <v>1</v>
      </c>
      <c r="P530" s="340" t="s">
        <v>287</v>
      </c>
    </row>
    <row r="531" spans="2:16" ht="39.75" customHeight="1">
      <c r="B531" s="25">
        <v>40023</v>
      </c>
      <c r="C531" s="340" t="s">
        <v>286</v>
      </c>
      <c r="D531" s="2" t="s">
        <v>1436</v>
      </c>
      <c r="E531" s="26" t="s">
        <v>404</v>
      </c>
      <c r="F531" s="2" t="s">
        <v>42</v>
      </c>
      <c r="G531" s="2" t="s">
        <v>1860</v>
      </c>
      <c r="H531" s="2" t="s">
        <v>18</v>
      </c>
      <c r="I531" s="356">
        <v>1260</v>
      </c>
      <c r="J531" s="342">
        <v>35.99</v>
      </c>
      <c r="K531" s="357">
        <f t="shared" si="25"/>
        <v>35.009724923589886</v>
      </c>
      <c r="L531" s="476">
        <v>60</v>
      </c>
      <c r="M531" s="343">
        <f t="shared" si="26"/>
        <v>21</v>
      </c>
      <c r="N531" s="344">
        <f ca="1" t="shared" si="24"/>
        <v>151</v>
      </c>
      <c r="O531" s="358">
        <v>1</v>
      </c>
      <c r="P531" s="340" t="s">
        <v>287</v>
      </c>
    </row>
    <row r="532" spans="2:16" ht="39.75" customHeight="1">
      <c r="B532" s="25">
        <v>40023</v>
      </c>
      <c r="C532" s="340" t="s">
        <v>286</v>
      </c>
      <c r="D532" s="2" t="s">
        <v>1437</v>
      </c>
      <c r="E532" s="26" t="s">
        <v>404</v>
      </c>
      <c r="F532" s="2" t="s">
        <v>42</v>
      </c>
      <c r="G532" s="2" t="s">
        <v>1860</v>
      </c>
      <c r="H532" s="2" t="s">
        <v>18</v>
      </c>
      <c r="I532" s="356">
        <v>1260</v>
      </c>
      <c r="J532" s="342">
        <v>35.99</v>
      </c>
      <c r="K532" s="357">
        <f t="shared" si="25"/>
        <v>35.009724923589886</v>
      </c>
      <c r="L532" s="476">
        <v>60</v>
      </c>
      <c r="M532" s="343">
        <f t="shared" si="26"/>
        <v>21</v>
      </c>
      <c r="N532" s="344">
        <f ca="1" t="shared" si="24"/>
        <v>151</v>
      </c>
      <c r="O532" s="358">
        <v>1</v>
      </c>
      <c r="P532" s="340" t="s">
        <v>287</v>
      </c>
    </row>
    <row r="533" spans="2:16" ht="39.75" customHeight="1">
      <c r="B533" s="25">
        <v>40023</v>
      </c>
      <c r="C533" s="340" t="s">
        <v>286</v>
      </c>
      <c r="D533" s="2" t="s">
        <v>1438</v>
      </c>
      <c r="E533" s="26" t="s">
        <v>404</v>
      </c>
      <c r="F533" s="2" t="s">
        <v>42</v>
      </c>
      <c r="G533" s="2" t="s">
        <v>1860</v>
      </c>
      <c r="H533" s="2" t="s">
        <v>18</v>
      </c>
      <c r="I533" s="356">
        <v>1260</v>
      </c>
      <c r="J533" s="342">
        <v>35.99</v>
      </c>
      <c r="K533" s="357">
        <f t="shared" si="25"/>
        <v>35.009724923589886</v>
      </c>
      <c r="L533" s="476">
        <v>60</v>
      </c>
      <c r="M533" s="343">
        <f t="shared" si="26"/>
        <v>21</v>
      </c>
      <c r="N533" s="344">
        <f ca="1" t="shared" si="24"/>
        <v>151</v>
      </c>
      <c r="O533" s="358">
        <v>1</v>
      </c>
      <c r="P533" s="340" t="s">
        <v>287</v>
      </c>
    </row>
    <row r="534" spans="2:16" ht="39.75" customHeight="1">
      <c r="B534" s="25">
        <v>40028</v>
      </c>
      <c r="C534" s="340" t="s">
        <v>271</v>
      </c>
      <c r="D534" s="2" t="s">
        <v>1510</v>
      </c>
      <c r="E534" s="26" t="s">
        <v>272</v>
      </c>
      <c r="F534" s="2" t="s">
        <v>410</v>
      </c>
      <c r="G534" s="2" t="s">
        <v>1869</v>
      </c>
      <c r="H534" s="2" t="s">
        <v>409</v>
      </c>
      <c r="I534" s="356">
        <v>32069.14</v>
      </c>
      <c r="J534" s="342">
        <v>36.1</v>
      </c>
      <c r="K534" s="357">
        <f t="shared" si="25"/>
        <v>888.3418282548475</v>
      </c>
      <c r="L534" s="476">
        <v>60</v>
      </c>
      <c r="M534" s="343">
        <f t="shared" si="26"/>
        <v>534.4856666666667</v>
      </c>
      <c r="N534" s="344">
        <f ca="1" t="shared" si="24"/>
        <v>151</v>
      </c>
      <c r="O534" s="358">
        <v>1</v>
      </c>
      <c r="P534" s="340" t="s">
        <v>273</v>
      </c>
    </row>
    <row r="535" spans="2:16" ht="39.75" customHeight="1">
      <c r="B535" s="25">
        <v>40028</v>
      </c>
      <c r="C535" s="340" t="s">
        <v>271</v>
      </c>
      <c r="D535" s="2" t="s">
        <v>1511</v>
      </c>
      <c r="E535" s="26" t="s">
        <v>274</v>
      </c>
      <c r="F535" s="2" t="s">
        <v>411</v>
      </c>
      <c r="G535" s="2" t="s">
        <v>1869</v>
      </c>
      <c r="H535" s="2" t="s">
        <v>409</v>
      </c>
      <c r="I535" s="356">
        <v>3060.34</v>
      </c>
      <c r="J535" s="342">
        <v>36.1</v>
      </c>
      <c r="K535" s="357">
        <f t="shared" si="25"/>
        <v>84.77396121883656</v>
      </c>
      <c r="L535" s="476">
        <v>60</v>
      </c>
      <c r="M535" s="343">
        <f t="shared" si="26"/>
        <v>51.00566666666667</v>
      </c>
      <c r="N535" s="344">
        <f ca="1" t="shared" si="24"/>
        <v>151</v>
      </c>
      <c r="O535" s="358">
        <v>1</v>
      </c>
      <c r="P535" s="340" t="s">
        <v>273</v>
      </c>
    </row>
    <row r="536" spans="2:16" ht="39.75" customHeight="1">
      <c r="B536" s="25">
        <v>40028</v>
      </c>
      <c r="C536" s="340" t="s">
        <v>271</v>
      </c>
      <c r="D536" s="2" t="s">
        <v>1694</v>
      </c>
      <c r="E536" s="26" t="s">
        <v>272</v>
      </c>
      <c r="F536" s="2" t="s">
        <v>123</v>
      </c>
      <c r="G536" s="2" t="s">
        <v>1871</v>
      </c>
      <c r="H536" s="2" t="s">
        <v>316</v>
      </c>
      <c r="I536" s="356">
        <v>32069.14</v>
      </c>
      <c r="J536" s="342">
        <v>36.1</v>
      </c>
      <c r="K536" s="357">
        <f t="shared" si="25"/>
        <v>888.3418282548475</v>
      </c>
      <c r="L536" s="476">
        <v>60</v>
      </c>
      <c r="M536" s="343">
        <f t="shared" si="26"/>
        <v>534.4856666666667</v>
      </c>
      <c r="N536" s="344">
        <f ca="1" t="shared" si="24"/>
        <v>151</v>
      </c>
      <c r="O536" s="358">
        <v>1</v>
      </c>
      <c r="P536" s="340" t="s">
        <v>273</v>
      </c>
    </row>
    <row r="537" spans="2:16" ht="39.75" customHeight="1">
      <c r="B537" s="25">
        <v>40028</v>
      </c>
      <c r="C537" s="340" t="s">
        <v>271</v>
      </c>
      <c r="D537" s="2" t="s">
        <v>1695</v>
      </c>
      <c r="E537" s="26" t="s">
        <v>274</v>
      </c>
      <c r="F537" s="2" t="s">
        <v>124</v>
      </c>
      <c r="G537" s="2" t="s">
        <v>1871</v>
      </c>
      <c r="H537" s="2" t="s">
        <v>316</v>
      </c>
      <c r="I537" s="356">
        <v>3060.34</v>
      </c>
      <c r="J537" s="342">
        <v>36.1</v>
      </c>
      <c r="K537" s="357">
        <f t="shared" si="25"/>
        <v>84.77396121883656</v>
      </c>
      <c r="L537" s="476">
        <v>60</v>
      </c>
      <c r="M537" s="343">
        <f t="shared" si="26"/>
        <v>51.00566666666667</v>
      </c>
      <c r="N537" s="344">
        <f ca="1" t="shared" si="24"/>
        <v>151</v>
      </c>
      <c r="O537" s="358">
        <v>1</v>
      </c>
      <c r="P537" s="340" t="s">
        <v>273</v>
      </c>
    </row>
    <row r="538" spans="2:16" ht="39.75" customHeight="1">
      <c r="B538" s="25">
        <v>40028</v>
      </c>
      <c r="C538" s="340" t="s">
        <v>271</v>
      </c>
      <c r="D538" s="2" t="s">
        <v>1091</v>
      </c>
      <c r="E538" s="26" t="s">
        <v>274</v>
      </c>
      <c r="F538" s="2" t="s">
        <v>398</v>
      </c>
      <c r="G538" s="2" t="s">
        <v>821</v>
      </c>
      <c r="H538" s="2" t="s">
        <v>530</v>
      </c>
      <c r="I538" s="356">
        <v>3060.34</v>
      </c>
      <c r="J538" s="342">
        <v>36.1</v>
      </c>
      <c r="K538" s="357">
        <f t="shared" si="25"/>
        <v>84.77396121883656</v>
      </c>
      <c r="L538" s="476">
        <v>60</v>
      </c>
      <c r="M538" s="343">
        <f t="shared" si="26"/>
        <v>51.00566666666667</v>
      </c>
      <c r="N538" s="344">
        <f ca="1" t="shared" si="24"/>
        <v>151</v>
      </c>
      <c r="O538" s="358">
        <v>1</v>
      </c>
      <c r="P538" s="340" t="s">
        <v>273</v>
      </c>
    </row>
    <row r="539" spans="2:16" ht="39.75" customHeight="1">
      <c r="B539" s="25">
        <v>40028</v>
      </c>
      <c r="C539" s="340" t="s">
        <v>271</v>
      </c>
      <c r="D539" s="2" t="s">
        <v>1796</v>
      </c>
      <c r="E539" s="26" t="s">
        <v>272</v>
      </c>
      <c r="F539" s="2" t="s">
        <v>413</v>
      </c>
      <c r="G539" s="2" t="s">
        <v>1824</v>
      </c>
      <c r="H539" s="2" t="s">
        <v>23</v>
      </c>
      <c r="I539" s="201">
        <v>32069.14</v>
      </c>
      <c r="J539" s="342">
        <v>36.1</v>
      </c>
      <c r="K539" s="357">
        <f t="shared" si="25"/>
        <v>888.3418282548475</v>
      </c>
      <c r="L539" s="477">
        <v>60</v>
      </c>
      <c r="M539" s="343">
        <f t="shared" si="26"/>
        <v>534.4856666666667</v>
      </c>
      <c r="N539" s="344">
        <f ca="1" t="shared" si="24"/>
        <v>151</v>
      </c>
      <c r="O539" s="33">
        <v>1</v>
      </c>
      <c r="P539" s="340" t="s">
        <v>273</v>
      </c>
    </row>
    <row r="540" spans="2:16" ht="39.75" customHeight="1">
      <c r="B540" s="25">
        <v>40051</v>
      </c>
      <c r="C540" s="340" t="s">
        <v>275</v>
      </c>
      <c r="D540" s="2" t="s">
        <v>1512</v>
      </c>
      <c r="E540" s="26" t="s">
        <v>276</v>
      </c>
      <c r="F540" s="2" t="s">
        <v>412</v>
      </c>
      <c r="G540" s="2" t="s">
        <v>1869</v>
      </c>
      <c r="H540" s="2" t="s">
        <v>409</v>
      </c>
      <c r="I540" s="356">
        <v>1348.31</v>
      </c>
      <c r="J540" s="342">
        <v>36.1</v>
      </c>
      <c r="K540" s="357">
        <f t="shared" si="25"/>
        <v>37.34930747922437</v>
      </c>
      <c r="L540" s="476">
        <v>60</v>
      </c>
      <c r="M540" s="343">
        <f t="shared" si="26"/>
        <v>22.471833333333333</v>
      </c>
      <c r="N540" s="344">
        <f ca="1" t="shared" si="24"/>
        <v>150</v>
      </c>
      <c r="O540" s="358">
        <v>1</v>
      </c>
      <c r="P540" s="340" t="s">
        <v>277</v>
      </c>
    </row>
    <row r="541" spans="2:16" ht="39.75" customHeight="1">
      <c r="B541" s="25">
        <v>40051</v>
      </c>
      <c r="C541" s="340" t="s">
        <v>275</v>
      </c>
      <c r="D541" s="2" t="s">
        <v>1696</v>
      </c>
      <c r="E541" s="26" t="s">
        <v>276</v>
      </c>
      <c r="F541" s="2" t="s">
        <v>125</v>
      </c>
      <c r="G541" s="2" t="s">
        <v>1871</v>
      </c>
      <c r="H541" s="2" t="s">
        <v>316</v>
      </c>
      <c r="I541" s="356">
        <v>1348.31</v>
      </c>
      <c r="J541" s="342">
        <v>36.1</v>
      </c>
      <c r="K541" s="357">
        <f t="shared" si="25"/>
        <v>37.34930747922437</v>
      </c>
      <c r="L541" s="476">
        <v>60</v>
      </c>
      <c r="M541" s="343">
        <f t="shared" si="26"/>
        <v>22.471833333333333</v>
      </c>
      <c r="N541" s="344">
        <f ca="1" t="shared" si="24"/>
        <v>150</v>
      </c>
      <c r="O541" s="358">
        <v>1</v>
      </c>
      <c r="P541" s="340" t="s">
        <v>277</v>
      </c>
    </row>
    <row r="542" spans="2:16" ht="39.75" customHeight="1">
      <c r="B542" s="25">
        <v>40064</v>
      </c>
      <c r="C542" s="340" t="s">
        <v>286</v>
      </c>
      <c r="D542" s="2" t="s">
        <v>1458</v>
      </c>
      <c r="E542" s="26" t="s">
        <v>9</v>
      </c>
      <c r="F542" s="2" t="s">
        <v>42</v>
      </c>
      <c r="G542" s="2" t="s">
        <v>1865</v>
      </c>
      <c r="H542" s="2" t="s">
        <v>402</v>
      </c>
      <c r="I542" s="356">
        <v>9512</v>
      </c>
      <c r="J542" s="342">
        <v>36.04</v>
      </c>
      <c r="K542" s="357">
        <f t="shared" si="25"/>
        <v>263.9289678135405</v>
      </c>
      <c r="L542" s="476">
        <v>60</v>
      </c>
      <c r="M542" s="343">
        <f t="shared" si="26"/>
        <v>158.53333333333333</v>
      </c>
      <c r="N542" s="344">
        <f ca="1" t="shared" si="24"/>
        <v>150</v>
      </c>
      <c r="O542" s="358">
        <v>1</v>
      </c>
      <c r="P542" s="340" t="s">
        <v>287</v>
      </c>
    </row>
    <row r="543" spans="2:16" ht="39.75" customHeight="1">
      <c r="B543" s="25">
        <v>40064</v>
      </c>
      <c r="C543" s="340" t="s">
        <v>286</v>
      </c>
      <c r="D543" s="2" t="s">
        <v>1470</v>
      </c>
      <c r="E543" s="26" t="s">
        <v>391</v>
      </c>
      <c r="F543" s="2" t="s">
        <v>42</v>
      </c>
      <c r="G543" s="2" t="s">
        <v>1865</v>
      </c>
      <c r="H543" s="2" t="s">
        <v>402</v>
      </c>
      <c r="I543" s="356">
        <v>4636</v>
      </c>
      <c r="J543" s="342">
        <v>36.04</v>
      </c>
      <c r="K543" s="357">
        <f t="shared" si="25"/>
        <v>128.6348501664817</v>
      </c>
      <c r="L543" s="476">
        <v>60</v>
      </c>
      <c r="M543" s="343">
        <f t="shared" si="26"/>
        <v>77.26666666666667</v>
      </c>
      <c r="N543" s="344">
        <f ca="1" t="shared" si="24"/>
        <v>150</v>
      </c>
      <c r="O543" s="358">
        <v>1</v>
      </c>
      <c r="P543" s="340" t="s">
        <v>287</v>
      </c>
    </row>
    <row r="544" spans="2:16" ht="39.75" customHeight="1">
      <c r="B544" s="25">
        <v>40064</v>
      </c>
      <c r="C544" s="340" t="s">
        <v>286</v>
      </c>
      <c r="D544" s="2" t="s">
        <v>1465</v>
      </c>
      <c r="E544" s="26" t="s">
        <v>403</v>
      </c>
      <c r="F544" s="2" t="s">
        <v>42</v>
      </c>
      <c r="G544" s="2" t="s">
        <v>1865</v>
      </c>
      <c r="H544" s="2" t="s">
        <v>402</v>
      </c>
      <c r="I544" s="356">
        <v>12347</v>
      </c>
      <c r="J544" s="342">
        <v>36.04</v>
      </c>
      <c r="K544" s="357">
        <f t="shared" si="25"/>
        <v>342.5915649278579</v>
      </c>
      <c r="L544" s="476">
        <v>60</v>
      </c>
      <c r="M544" s="343">
        <f t="shared" si="26"/>
        <v>205.78333333333333</v>
      </c>
      <c r="N544" s="344">
        <f ca="1" t="shared" si="24"/>
        <v>150</v>
      </c>
      <c r="O544" s="358">
        <v>1</v>
      </c>
      <c r="P544" s="340" t="s">
        <v>287</v>
      </c>
    </row>
    <row r="545" spans="2:16" ht="39.75" customHeight="1">
      <c r="B545" s="25">
        <v>40064</v>
      </c>
      <c r="C545" s="340" t="s">
        <v>286</v>
      </c>
      <c r="D545" s="2" t="s">
        <v>1469</v>
      </c>
      <c r="E545" s="26" t="s">
        <v>121</v>
      </c>
      <c r="F545" s="2" t="s">
        <v>42</v>
      </c>
      <c r="G545" s="2" t="s">
        <v>1865</v>
      </c>
      <c r="H545" s="2" t="s">
        <v>402</v>
      </c>
      <c r="I545" s="356">
        <v>2426</v>
      </c>
      <c r="J545" s="342">
        <v>36.04</v>
      </c>
      <c r="K545" s="357">
        <f t="shared" si="25"/>
        <v>67.31409544950056</v>
      </c>
      <c r="L545" s="476">
        <v>60</v>
      </c>
      <c r="M545" s="343">
        <f t="shared" si="26"/>
        <v>40.43333333333333</v>
      </c>
      <c r="N545" s="344">
        <f ca="1" t="shared" si="24"/>
        <v>150</v>
      </c>
      <c r="O545" s="358">
        <v>1</v>
      </c>
      <c r="P545" s="340" t="s">
        <v>287</v>
      </c>
    </row>
    <row r="546" spans="2:16" ht="39.75" customHeight="1">
      <c r="B546" s="25">
        <v>40064</v>
      </c>
      <c r="C546" s="340" t="s">
        <v>286</v>
      </c>
      <c r="D546" s="2" t="s">
        <v>1463</v>
      </c>
      <c r="E546" s="26" t="s">
        <v>404</v>
      </c>
      <c r="F546" s="2" t="s">
        <v>42</v>
      </c>
      <c r="G546" s="2" t="s">
        <v>1865</v>
      </c>
      <c r="H546" s="2" t="s">
        <v>402</v>
      </c>
      <c r="I546" s="356">
        <v>1200</v>
      </c>
      <c r="J546" s="342">
        <v>36.04</v>
      </c>
      <c r="K546" s="357">
        <f t="shared" si="25"/>
        <v>33.29633740288568</v>
      </c>
      <c r="L546" s="476">
        <v>60</v>
      </c>
      <c r="M546" s="343">
        <f t="shared" si="26"/>
        <v>20</v>
      </c>
      <c r="N546" s="344">
        <f ca="1" t="shared" si="24"/>
        <v>150</v>
      </c>
      <c r="O546" s="358">
        <v>1</v>
      </c>
      <c r="P546" s="340" t="s">
        <v>287</v>
      </c>
    </row>
    <row r="547" spans="2:16" ht="39.75" customHeight="1">
      <c r="B547" s="25">
        <v>40064</v>
      </c>
      <c r="C547" s="340" t="s">
        <v>286</v>
      </c>
      <c r="D547" s="2" t="s">
        <v>1464</v>
      </c>
      <c r="E547" s="26" t="s">
        <v>404</v>
      </c>
      <c r="F547" s="2" t="s">
        <v>42</v>
      </c>
      <c r="G547" s="2" t="s">
        <v>1865</v>
      </c>
      <c r="H547" s="2" t="s">
        <v>402</v>
      </c>
      <c r="I547" s="356">
        <v>1200</v>
      </c>
      <c r="J547" s="342">
        <v>36.04</v>
      </c>
      <c r="K547" s="357">
        <f t="shared" si="25"/>
        <v>33.29633740288568</v>
      </c>
      <c r="L547" s="476">
        <v>60</v>
      </c>
      <c r="M547" s="343">
        <f t="shared" si="26"/>
        <v>20</v>
      </c>
      <c r="N547" s="344">
        <f ca="1" t="shared" si="24"/>
        <v>150</v>
      </c>
      <c r="O547" s="358">
        <v>1</v>
      </c>
      <c r="P547" s="340" t="s">
        <v>287</v>
      </c>
    </row>
    <row r="548" spans="2:16" ht="39.75" customHeight="1">
      <c r="B548" s="25">
        <v>40064</v>
      </c>
      <c r="C548" s="340" t="s">
        <v>286</v>
      </c>
      <c r="D548" s="2" t="s">
        <v>1467</v>
      </c>
      <c r="E548" s="26" t="s">
        <v>404</v>
      </c>
      <c r="F548" s="2" t="s">
        <v>42</v>
      </c>
      <c r="G548" s="2" t="s">
        <v>1865</v>
      </c>
      <c r="H548" s="2" t="s">
        <v>402</v>
      </c>
      <c r="I548" s="356">
        <v>1200</v>
      </c>
      <c r="J548" s="342">
        <v>36.04</v>
      </c>
      <c r="K548" s="357">
        <f t="shared" si="25"/>
        <v>33.29633740288568</v>
      </c>
      <c r="L548" s="476">
        <v>60</v>
      </c>
      <c r="M548" s="343">
        <f t="shared" si="26"/>
        <v>20</v>
      </c>
      <c r="N548" s="344">
        <f ca="1" t="shared" si="24"/>
        <v>150</v>
      </c>
      <c r="O548" s="358">
        <v>1</v>
      </c>
      <c r="P548" s="340" t="s">
        <v>287</v>
      </c>
    </row>
    <row r="549" spans="2:16" ht="39.75" customHeight="1">
      <c r="B549" s="25">
        <v>40064</v>
      </c>
      <c r="C549" s="340" t="s">
        <v>286</v>
      </c>
      <c r="D549" s="2" t="s">
        <v>1468</v>
      </c>
      <c r="E549" s="26" t="s">
        <v>404</v>
      </c>
      <c r="F549" s="2" t="s">
        <v>42</v>
      </c>
      <c r="G549" s="2" t="s">
        <v>1865</v>
      </c>
      <c r="H549" s="2" t="s">
        <v>402</v>
      </c>
      <c r="I549" s="356">
        <v>1200</v>
      </c>
      <c r="J549" s="342">
        <v>36.04</v>
      </c>
      <c r="K549" s="357">
        <f t="shared" si="25"/>
        <v>33.29633740288568</v>
      </c>
      <c r="L549" s="476">
        <v>60</v>
      </c>
      <c r="M549" s="343">
        <f t="shared" si="26"/>
        <v>20</v>
      </c>
      <c r="N549" s="344">
        <f ca="1" t="shared" si="24"/>
        <v>150</v>
      </c>
      <c r="O549" s="358">
        <v>1</v>
      </c>
      <c r="P549" s="340" t="s">
        <v>287</v>
      </c>
    </row>
    <row r="550" spans="2:16" ht="39.75" customHeight="1">
      <c r="B550" s="25">
        <v>40099</v>
      </c>
      <c r="C550" s="340" t="s">
        <v>278</v>
      </c>
      <c r="D550" s="2" t="s">
        <v>1471</v>
      </c>
      <c r="E550" s="26" t="s">
        <v>462</v>
      </c>
      <c r="F550" s="2" t="s">
        <v>42</v>
      </c>
      <c r="G550" s="2" t="s">
        <v>1865</v>
      </c>
      <c r="H550" s="2" t="s">
        <v>402</v>
      </c>
      <c r="I550" s="356">
        <v>21090</v>
      </c>
      <c r="J550" s="342">
        <v>35.9</v>
      </c>
      <c r="K550" s="357">
        <f t="shared" si="25"/>
        <v>587.4651810584959</v>
      </c>
      <c r="L550" s="476">
        <v>60</v>
      </c>
      <c r="M550" s="343">
        <f t="shared" si="26"/>
        <v>351.5</v>
      </c>
      <c r="N550" s="344">
        <f ca="1" t="shared" si="24"/>
        <v>149</v>
      </c>
      <c r="O550" s="358">
        <v>1</v>
      </c>
      <c r="P550" s="340" t="s">
        <v>525</v>
      </c>
    </row>
    <row r="551" spans="2:16" ht="39.75" customHeight="1">
      <c r="B551" s="25">
        <v>40099</v>
      </c>
      <c r="C551" s="340" t="s">
        <v>278</v>
      </c>
      <c r="D551" s="2" t="s">
        <v>1472</v>
      </c>
      <c r="E551" s="26" t="s">
        <v>194</v>
      </c>
      <c r="F551" s="2" t="s">
        <v>42</v>
      </c>
      <c r="G551" s="2" t="s">
        <v>1865</v>
      </c>
      <c r="H551" s="2" t="s">
        <v>402</v>
      </c>
      <c r="I551" s="356">
        <v>5850</v>
      </c>
      <c r="J551" s="342">
        <v>35.9</v>
      </c>
      <c r="K551" s="357">
        <f t="shared" si="25"/>
        <v>162.95264623955433</v>
      </c>
      <c r="L551" s="476">
        <v>60</v>
      </c>
      <c r="M551" s="343">
        <f t="shared" si="26"/>
        <v>97.5</v>
      </c>
      <c r="N551" s="344">
        <f ca="1" t="shared" si="24"/>
        <v>149</v>
      </c>
      <c r="O551" s="358">
        <v>1</v>
      </c>
      <c r="P551" s="340" t="s">
        <v>525</v>
      </c>
    </row>
    <row r="552" spans="2:16" ht="39.75" customHeight="1">
      <c r="B552" s="25">
        <v>40099</v>
      </c>
      <c r="C552" s="340" t="s">
        <v>278</v>
      </c>
      <c r="D552" s="2" t="s">
        <v>1473</v>
      </c>
      <c r="E552" s="26" t="s">
        <v>279</v>
      </c>
      <c r="F552" s="2" t="s">
        <v>42</v>
      </c>
      <c r="G552" s="2" t="s">
        <v>1865</v>
      </c>
      <c r="H552" s="2" t="s">
        <v>402</v>
      </c>
      <c r="I552" s="356">
        <v>19500</v>
      </c>
      <c r="J552" s="342">
        <v>35.9</v>
      </c>
      <c r="K552" s="357">
        <f t="shared" si="25"/>
        <v>543.175487465181</v>
      </c>
      <c r="L552" s="476">
        <v>60</v>
      </c>
      <c r="M552" s="343">
        <f t="shared" si="26"/>
        <v>325</v>
      </c>
      <c r="N552" s="344">
        <f ca="1" t="shared" si="24"/>
        <v>149</v>
      </c>
      <c r="O552" s="358">
        <v>1</v>
      </c>
      <c r="P552" s="340" t="s">
        <v>525</v>
      </c>
    </row>
    <row r="553" spans="2:16" ht="39.75" customHeight="1">
      <c r="B553" s="25">
        <v>40099</v>
      </c>
      <c r="C553" s="340" t="s">
        <v>278</v>
      </c>
      <c r="D553" s="2" t="s">
        <v>1514</v>
      </c>
      <c r="E553" s="26" t="s">
        <v>462</v>
      </c>
      <c r="F553" s="2" t="s">
        <v>42</v>
      </c>
      <c r="G553" s="2" t="s">
        <v>1869</v>
      </c>
      <c r="H553" s="2" t="s">
        <v>409</v>
      </c>
      <c r="I553" s="356">
        <v>21090</v>
      </c>
      <c r="J553" s="342">
        <v>35.9</v>
      </c>
      <c r="K553" s="357">
        <f t="shared" si="25"/>
        <v>587.4651810584959</v>
      </c>
      <c r="L553" s="476">
        <v>60</v>
      </c>
      <c r="M553" s="343">
        <f t="shared" si="26"/>
        <v>351.5</v>
      </c>
      <c r="N553" s="344">
        <f ca="1" t="shared" si="24"/>
        <v>149</v>
      </c>
      <c r="O553" s="358">
        <v>1</v>
      </c>
      <c r="P553" s="340" t="s">
        <v>525</v>
      </c>
    </row>
    <row r="554" spans="2:16" ht="39.75" customHeight="1">
      <c r="B554" s="25">
        <v>40099</v>
      </c>
      <c r="C554" s="340" t="s">
        <v>278</v>
      </c>
      <c r="D554" s="2" t="s">
        <v>1515</v>
      </c>
      <c r="E554" s="26" t="s">
        <v>194</v>
      </c>
      <c r="F554" s="2" t="s">
        <v>42</v>
      </c>
      <c r="G554" s="2" t="s">
        <v>1869</v>
      </c>
      <c r="H554" s="2" t="s">
        <v>409</v>
      </c>
      <c r="I554" s="356">
        <v>5850</v>
      </c>
      <c r="J554" s="342">
        <v>35.9</v>
      </c>
      <c r="K554" s="357">
        <f t="shared" si="25"/>
        <v>162.95264623955433</v>
      </c>
      <c r="L554" s="476">
        <v>60</v>
      </c>
      <c r="M554" s="343">
        <f t="shared" si="26"/>
        <v>97.5</v>
      </c>
      <c r="N554" s="344">
        <f ca="1" t="shared" si="24"/>
        <v>149</v>
      </c>
      <c r="O554" s="358">
        <v>1</v>
      </c>
      <c r="P554" s="340" t="s">
        <v>525</v>
      </c>
    </row>
    <row r="555" spans="2:16" ht="39.75" customHeight="1">
      <c r="B555" s="25">
        <v>40099</v>
      </c>
      <c r="C555" s="340" t="s">
        <v>278</v>
      </c>
      <c r="D555" s="2" t="s">
        <v>1516</v>
      </c>
      <c r="E555" s="26" t="s">
        <v>279</v>
      </c>
      <c r="F555" s="2" t="s">
        <v>42</v>
      </c>
      <c r="G555" s="2" t="s">
        <v>1869</v>
      </c>
      <c r="H555" s="2" t="s">
        <v>409</v>
      </c>
      <c r="I555" s="356">
        <v>19500</v>
      </c>
      <c r="J555" s="342">
        <v>35.9</v>
      </c>
      <c r="K555" s="357">
        <f t="shared" si="25"/>
        <v>543.175487465181</v>
      </c>
      <c r="L555" s="476">
        <v>60</v>
      </c>
      <c r="M555" s="343">
        <f t="shared" si="26"/>
        <v>325</v>
      </c>
      <c r="N555" s="344">
        <f ca="1" t="shared" si="24"/>
        <v>149</v>
      </c>
      <c r="O555" s="358">
        <v>1</v>
      </c>
      <c r="P555" s="340" t="s">
        <v>525</v>
      </c>
    </row>
    <row r="556" spans="2:16" ht="39.75" customHeight="1">
      <c r="B556" s="25">
        <v>40099</v>
      </c>
      <c r="C556" s="340" t="s">
        <v>278</v>
      </c>
      <c r="D556" s="2" t="s">
        <v>1427</v>
      </c>
      <c r="E556" s="26" t="s">
        <v>194</v>
      </c>
      <c r="F556" s="2" t="s">
        <v>42</v>
      </c>
      <c r="G556" s="2" t="s">
        <v>1859</v>
      </c>
      <c r="H556" s="2" t="s">
        <v>17</v>
      </c>
      <c r="I556" s="356">
        <v>5850</v>
      </c>
      <c r="J556" s="342">
        <v>35.9</v>
      </c>
      <c r="K556" s="357">
        <f t="shared" si="25"/>
        <v>162.95264623955433</v>
      </c>
      <c r="L556" s="476">
        <v>60</v>
      </c>
      <c r="M556" s="343">
        <f t="shared" si="26"/>
        <v>97.5</v>
      </c>
      <c r="N556" s="344">
        <f ca="1" t="shared" si="24"/>
        <v>149</v>
      </c>
      <c r="O556" s="358">
        <v>1</v>
      </c>
      <c r="P556" s="340" t="s">
        <v>525</v>
      </c>
    </row>
    <row r="557" spans="2:16" ht="39.75" customHeight="1">
      <c r="B557" s="25">
        <v>40099</v>
      </c>
      <c r="C557" s="340" t="s">
        <v>278</v>
      </c>
      <c r="D557" s="2" t="s">
        <v>1485</v>
      </c>
      <c r="E557" s="26" t="s">
        <v>194</v>
      </c>
      <c r="F557" s="2" t="s">
        <v>42</v>
      </c>
      <c r="G557" s="2" t="s">
        <v>3649</v>
      </c>
      <c r="H557" s="2" t="s">
        <v>3015</v>
      </c>
      <c r="I557" s="356">
        <v>5850</v>
      </c>
      <c r="J557" s="342">
        <v>35.9</v>
      </c>
      <c r="K557" s="357">
        <f t="shared" si="25"/>
        <v>162.95264623955433</v>
      </c>
      <c r="L557" s="476">
        <v>60</v>
      </c>
      <c r="M557" s="343">
        <f t="shared" si="26"/>
        <v>97.5</v>
      </c>
      <c r="N557" s="344">
        <f ca="1" t="shared" si="24"/>
        <v>149</v>
      </c>
      <c r="O557" s="358">
        <v>1</v>
      </c>
      <c r="P557" s="340" t="s">
        <v>525</v>
      </c>
    </row>
    <row r="558" spans="2:16" ht="39.75" customHeight="1">
      <c r="B558" s="25">
        <v>40099</v>
      </c>
      <c r="C558" s="340" t="s">
        <v>278</v>
      </c>
      <c r="D558" s="2" t="s">
        <v>1367</v>
      </c>
      <c r="E558" s="26" t="s">
        <v>462</v>
      </c>
      <c r="F558" s="2" t="s">
        <v>42</v>
      </c>
      <c r="G558" s="2" t="s">
        <v>1844</v>
      </c>
      <c r="H558" s="2" t="s">
        <v>315</v>
      </c>
      <c r="I558" s="356">
        <v>21090</v>
      </c>
      <c r="J558" s="342">
        <v>35.9</v>
      </c>
      <c r="K558" s="357">
        <f t="shared" si="25"/>
        <v>587.4651810584959</v>
      </c>
      <c r="L558" s="476">
        <v>60</v>
      </c>
      <c r="M558" s="343">
        <f t="shared" si="26"/>
        <v>351.5</v>
      </c>
      <c r="N558" s="344">
        <f ca="1" t="shared" si="24"/>
        <v>149</v>
      </c>
      <c r="O558" s="358">
        <v>1</v>
      </c>
      <c r="P558" s="340" t="s">
        <v>525</v>
      </c>
    </row>
    <row r="559" spans="2:16" ht="39.75" customHeight="1">
      <c r="B559" s="25">
        <v>40099</v>
      </c>
      <c r="C559" s="340" t="s">
        <v>278</v>
      </c>
      <c r="D559" s="2" t="s">
        <v>1368</v>
      </c>
      <c r="E559" s="26" t="s">
        <v>462</v>
      </c>
      <c r="F559" s="2" t="s">
        <v>42</v>
      </c>
      <c r="G559" s="2" t="s">
        <v>1844</v>
      </c>
      <c r="H559" s="2" t="s">
        <v>315</v>
      </c>
      <c r="I559" s="356">
        <v>21090</v>
      </c>
      <c r="J559" s="342">
        <v>35.9</v>
      </c>
      <c r="K559" s="357">
        <f t="shared" si="25"/>
        <v>587.4651810584959</v>
      </c>
      <c r="L559" s="476">
        <v>60</v>
      </c>
      <c r="M559" s="343">
        <f t="shared" si="26"/>
        <v>351.5</v>
      </c>
      <c r="N559" s="344">
        <f ca="1" t="shared" si="24"/>
        <v>149</v>
      </c>
      <c r="O559" s="358">
        <v>1</v>
      </c>
      <c r="P559" s="340" t="s">
        <v>525</v>
      </c>
    </row>
    <row r="560" spans="2:16" ht="39.75" customHeight="1">
      <c r="B560" s="25">
        <v>40099</v>
      </c>
      <c r="C560" s="340" t="s">
        <v>278</v>
      </c>
      <c r="D560" s="2" t="s">
        <v>1369</v>
      </c>
      <c r="E560" s="26" t="s">
        <v>462</v>
      </c>
      <c r="F560" s="2" t="s">
        <v>42</v>
      </c>
      <c r="G560" s="2" t="s">
        <v>1844</v>
      </c>
      <c r="H560" s="2" t="s">
        <v>315</v>
      </c>
      <c r="I560" s="356">
        <v>21090</v>
      </c>
      <c r="J560" s="342">
        <v>35.9</v>
      </c>
      <c r="K560" s="357">
        <f t="shared" si="25"/>
        <v>587.4651810584959</v>
      </c>
      <c r="L560" s="476">
        <v>60</v>
      </c>
      <c r="M560" s="343">
        <f t="shared" si="26"/>
        <v>351.5</v>
      </c>
      <c r="N560" s="344">
        <f ca="1" t="shared" si="24"/>
        <v>149</v>
      </c>
      <c r="O560" s="358">
        <v>1</v>
      </c>
      <c r="P560" s="340" t="s">
        <v>525</v>
      </c>
    </row>
    <row r="561" spans="2:16" ht="39.75" customHeight="1">
      <c r="B561" s="25">
        <v>40099</v>
      </c>
      <c r="C561" s="340" t="s">
        <v>278</v>
      </c>
      <c r="D561" s="2" t="s">
        <v>1370</v>
      </c>
      <c r="E561" s="26" t="s">
        <v>194</v>
      </c>
      <c r="F561" s="2" t="s">
        <v>42</v>
      </c>
      <c r="G561" s="2" t="s">
        <v>1844</v>
      </c>
      <c r="H561" s="2" t="s">
        <v>315</v>
      </c>
      <c r="I561" s="356">
        <v>5850</v>
      </c>
      <c r="J561" s="342">
        <v>35.9</v>
      </c>
      <c r="K561" s="357">
        <f t="shared" si="25"/>
        <v>162.95264623955433</v>
      </c>
      <c r="L561" s="476">
        <v>60</v>
      </c>
      <c r="M561" s="343">
        <f t="shared" si="26"/>
        <v>97.5</v>
      </c>
      <c r="N561" s="344">
        <f ca="1" t="shared" si="24"/>
        <v>149</v>
      </c>
      <c r="O561" s="358">
        <v>1</v>
      </c>
      <c r="P561" s="340" t="s">
        <v>525</v>
      </c>
    </row>
    <row r="562" spans="2:16" ht="39.75" customHeight="1">
      <c r="B562" s="25">
        <v>40099</v>
      </c>
      <c r="C562" s="340" t="s">
        <v>278</v>
      </c>
      <c r="D562" s="2" t="s">
        <v>1371</v>
      </c>
      <c r="E562" s="26" t="s">
        <v>194</v>
      </c>
      <c r="F562" s="2" t="s">
        <v>42</v>
      </c>
      <c r="G562" s="2" t="s">
        <v>1844</v>
      </c>
      <c r="H562" s="2" t="s">
        <v>315</v>
      </c>
      <c r="I562" s="356">
        <v>5850</v>
      </c>
      <c r="J562" s="342">
        <v>35.9</v>
      </c>
      <c r="K562" s="357">
        <f t="shared" si="25"/>
        <v>162.95264623955433</v>
      </c>
      <c r="L562" s="476">
        <v>60</v>
      </c>
      <c r="M562" s="343">
        <f t="shared" si="26"/>
        <v>97.5</v>
      </c>
      <c r="N562" s="344">
        <f ca="1" t="shared" si="24"/>
        <v>149</v>
      </c>
      <c r="O562" s="358">
        <v>1</v>
      </c>
      <c r="P562" s="340" t="s">
        <v>525</v>
      </c>
    </row>
    <row r="563" spans="2:16" ht="39.75" customHeight="1">
      <c r="B563" s="25">
        <v>40099</v>
      </c>
      <c r="C563" s="340" t="s">
        <v>278</v>
      </c>
      <c r="D563" s="2" t="s">
        <v>1372</v>
      </c>
      <c r="E563" s="26" t="s">
        <v>279</v>
      </c>
      <c r="F563" s="2" t="s">
        <v>42</v>
      </c>
      <c r="G563" s="2" t="s">
        <v>1844</v>
      </c>
      <c r="H563" s="2" t="s">
        <v>315</v>
      </c>
      <c r="I563" s="356">
        <v>19500</v>
      </c>
      <c r="J563" s="342">
        <v>35.9</v>
      </c>
      <c r="K563" s="357">
        <f t="shared" si="25"/>
        <v>543.175487465181</v>
      </c>
      <c r="L563" s="476">
        <v>60</v>
      </c>
      <c r="M563" s="343">
        <f t="shared" si="26"/>
        <v>325</v>
      </c>
      <c r="N563" s="344">
        <f ca="1" t="shared" si="24"/>
        <v>149</v>
      </c>
      <c r="O563" s="358">
        <v>1</v>
      </c>
      <c r="P563" s="340" t="s">
        <v>525</v>
      </c>
    </row>
    <row r="564" spans="2:16" ht="39.75" customHeight="1">
      <c r="B564" s="25">
        <v>40099</v>
      </c>
      <c r="C564" s="340" t="s">
        <v>278</v>
      </c>
      <c r="D564" s="2" t="s">
        <v>1373</v>
      </c>
      <c r="E564" s="26" t="s">
        <v>279</v>
      </c>
      <c r="F564" s="2" t="s">
        <v>42</v>
      </c>
      <c r="G564" s="2" t="s">
        <v>1844</v>
      </c>
      <c r="H564" s="2" t="s">
        <v>315</v>
      </c>
      <c r="I564" s="356">
        <v>19500</v>
      </c>
      <c r="J564" s="342">
        <v>35.9</v>
      </c>
      <c r="K564" s="357">
        <f t="shared" si="25"/>
        <v>543.175487465181</v>
      </c>
      <c r="L564" s="476">
        <v>60</v>
      </c>
      <c r="M564" s="343">
        <f t="shared" si="26"/>
        <v>325</v>
      </c>
      <c r="N564" s="344">
        <f ca="1" t="shared" si="24"/>
        <v>149</v>
      </c>
      <c r="O564" s="358">
        <v>1</v>
      </c>
      <c r="P564" s="340" t="s">
        <v>525</v>
      </c>
    </row>
    <row r="565" spans="2:16" ht="39.75" customHeight="1">
      <c r="B565" s="25">
        <v>40099</v>
      </c>
      <c r="C565" s="340" t="s">
        <v>278</v>
      </c>
      <c r="D565" s="2" t="s">
        <v>1675</v>
      </c>
      <c r="E565" s="26" t="s">
        <v>462</v>
      </c>
      <c r="F565" s="2" t="s">
        <v>42</v>
      </c>
      <c r="G565" s="2" t="s">
        <v>1871</v>
      </c>
      <c r="H565" s="2" t="s">
        <v>316</v>
      </c>
      <c r="I565" s="356">
        <v>21090</v>
      </c>
      <c r="J565" s="342">
        <v>35.9</v>
      </c>
      <c r="K565" s="357">
        <f t="shared" si="25"/>
        <v>587.4651810584959</v>
      </c>
      <c r="L565" s="476">
        <v>60</v>
      </c>
      <c r="M565" s="343">
        <f t="shared" si="26"/>
        <v>351.5</v>
      </c>
      <c r="N565" s="344">
        <f ca="1" t="shared" si="24"/>
        <v>149</v>
      </c>
      <c r="O565" s="358">
        <v>1</v>
      </c>
      <c r="P565" s="340" t="s">
        <v>525</v>
      </c>
    </row>
    <row r="566" spans="2:16" ht="39.75" customHeight="1">
      <c r="B566" s="25">
        <v>40099</v>
      </c>
      <c r="C566" s="340" t="s">
        <v>278</v>
      </c>
      <c r="D566" s="2" t="s">
        <v>1676</v>
      </c>
      <c r="E566" s="26" t="s">
        <v>194</v>
      </c>
      <c r="F566" s="2" t="s">
        <v>42</v>
      </c>
      <c r="G566" s="2" t="s">
        <v>1871</v>
      </c>
      <c r="H566" s="2" t="s">
        <v>316</v>
      </c>
      <c r="I566" s="356">
        <v>5850</v>
      </c>
      <c r="J566" s="342">
        <v>35.9</v>
      </c>
      <c r="K566" s="357">
        <f t="shared" si="25"/>
        <v>162.95264623955433</v>
      </c>
      <c r="L566" s="476">
        <v>60</v>
      </c>
      <c r="M566" s="343">
        <f t="shared" si="26"/>
        <v>97.5</v>
      </c>
      <c r="N566" s="344">
        <f ca="1" t="shared" si="24"/>
        <v>149</v>
      </c>
      <c r="O566" s="358">
        <v>1</v>
      </c>
      <c r="P566" s="340" t="s">
        <v>525</v>
      </c>
    </row>
    <row r="567" spans="2:16" ht="39.75" customHeight="1">
      <c r="B567" s="25">
        <v>40099</v>
      </c>
      <c r="C567" s="340" t="s">
        <v>278</v>
      </c>
      <c r="D567" s="2" t="s">
        <v>1677</v>
      </c>
      <c r="E567" s="26" t="s">
        <v>279</v>
      </c>
      <c r="F567" s="2" t="s">
        <v>42</v>
      </c>
      <c r="G567" s="2" t="s">
        <v>1871</v>
      </c>
      <c r="H567" s="2" t="s">
        <v>316</v>
      </c>
      <c r="I567" s="356">
        <v>19500</v>
      </c>
      <c r="J567" s="342">
        <v>35.9</v>
      </c>
      <c r="K567" s="357">
        <f t="shared" si="25"/>
        <v>543.175487465181</v>
      </c>
      <c r="L567" s="476">
        <v>60</v>
      </c>
      <c r="M567" s="343">
        <f t="shared" si="26"/>
        <v>325</v>
      </c>
      <c r="N567" s="344">
        <f ca="1" t="shared" si="24"/>
        <v>149</v>
      </c>
      <c r="O567" s="358">
        <v>1</v>
      </c>
      <c r="P567" s="340" t="s">
        <v>525</v>
      </c>
    </row>
    <row r="568" spans="2:16" ht="39.75" customHeight="1">
      <c r="B568" s="25">
        <v>40099</v>
      </c>
      <c r="C568" s="340" t="s">
        <v>278</v>
      </c>
      <c r="D568" s="2" t="s">
        <v>1486</v>
      </c>
      <c r="E568" s="26" t="s">
        <v>279</v>
      </c>
      <c r="F568" s="2" t="s">
        <v>42</v>
      </c>
      <c r="G568" s="2" t="s">
        <v>1866</v>
      </c>
      <c r="H568" s="2" t="s">
        <v>314</v>
      </c>
      <c r="I568" s="356">
        <v>19500</v>
      </c>
      <c r="J568" s="342">
        <v>35.9</v>
      </c>
      <c r="K568" s="357">
        <f t="shared" si="25"/>
        <v>543.175487465181</v>
      </c>
      <c r="L568" s="476">
        <v>60</v>
      </c>
      <c r="M568" s="343">
        <f t="shared" si="26"/>
        <v>325</v>
      </c>
      <c r="N568" s="344">
        <f ca="1" t="shared" si="24"/>
        <v>149</v>
      </c>
      <c r="O568" s="358">
        <v>1</v>
      </c>
      <c r="P568" s="340" t="s">
        <v>525</v>
      </c>
    </row>
    <row r="569" spans="2:16" ht="39.75" customHeight="1">
      <c r="B569" s="25">
        <v>40099</v>
      </c>
      <c r="C569" s="340" t="s">
        <v>278</v>
      </c>
      <c r="D569" s="2" t="s">
        <v>1487</v>
      </c>
      <c r="E569" s="26" t="s">
        <v>279</v>
      </c>
      <c r="F569" s="2" t="s">
        <v>42</v>
      </c>
      <c r="G569" s="2" t="s">
        <v>1866</v>
      </c>
      <c r="H569" s="2" t="s">
        <v>314</v>
      </c>
      <c r="I569" s="356">
        <v>19500</v>
      </c>
      <c r="J569" s="342">
        <v>35.9</v>
      </c>
      <c r="K569" s="357">
        <f t="shared" si="25"/>
        <v>543.175487465181</v>
      </c>
      <c r="L569" s="476">
        <v>60</v>
      </c>
      <c r="M569" s="343">
        <f t="shared" si="26"/>
        <v>325</v>
      </c>
      <c r="N569" s="344">
        <f ca="1" t="shared" si="24"/>
        <v>149</v>
      </c>
      <c r="O569" s="358">
        <v>1</v>
      </c>
      <c r="P569" s="340" t="s">
        <v>525</v>
      </c>
    </row>
    <row r="570" spans="2:16" ht="39.75" customHeight="1">
      <c r="B570" s="25">
        <v>40099</v>
      </c>
      <c r="C570" s="340" t="s">
        <v>278</v>
      </c>
      <c r="D570" s="2" t="s">
        <v>1182</v>
      </c>
      <c r="E570" s="26" t="s">
        <v>462</v>
      </c>
      <c r="F570" s="2" t="s">
        <v>42</v>
      </c>
      <c r="G570" s="2" t="s">
        <v>1824</v>
      </c>
      <c r="H570" s="2" t="s">
        <v>285</v>
      </c>
      <c r="I570" s="356">
        <v>21090</v>
      </c>
      <c r="J570" s="342">
        <v>35.9</v>
      </c>
      <c r="K570" s="357">
        <f t="shared" si="25"/>
        <v>587.4651810584959</v>
      </c>
      <c r="L570" s="476">
        <v>60</v>
      </c>
      <c r="M570" s="343">
        <f t="shared" si="26"/>
        <v>351.5</v>
      </c>
      <c r="N570" s="344">
        <f ca="1" t="shared" si="24"/>
        <v>149</v>
      </c>
      <c r="O570" s="358">
        <v>1</v>
      </c>
      <c r="P570" s="340" t="s">
        <v>525</v>
      </c>
    </row>
    <row r="571" spans="2:16" ht="39.75" customHeight="1">
      <c r="B571" s="25">
        <v>40099</v>
      </c>
      <c r="C571" s="340" t="s">
        <v>278</v>
      </c>
      <c r="D571" s="2" t="s">
        <v>1183</v>
      </c>
      <c r="E571" s="26" t="s">
        <v>462</v>
      </c>
      <c r="F571" s="2" t="s">
        <v>42</v>
      </c>
      <c r="G571" s="2" t="s">
        <v>1824</v>
      </c>
      <c r="H571" s="2" t="s">
        <v>285</v>
      </c>
      <c r="I571" s="356">
        <v>21090</v>
      </c>
      <c r="J571" s="342">
        <v>35.9</v>
      </c>
      <c r="K571" s="357">
        <f t="shared" si="25"/>
        <v>587.4651810584959</v>
      </c>
      <c r="L571" s="476">
        <v>60</v>
      </c>
      <c r="M571" s="343">
        <f t="shared" si="26"/>
        <v>351.5</v>
      </c>
      <c r="N571" s="344">
        <f ca="1" t="shared" si="24"/>
        <v>149</v>
      </c>
      <c r="O571" s="358">
        <v>1</v>
      </c>
      <c r="P571" s="340" t="s">
        <v>525</v>
      </c>
    </row>
    <row r="572" spans="2:16" ht="39.75" customHeight="1">
      <c r="B572" s="25">
        <v>40099</v>
      </c>
      <c r="C572" s="340" t="s">
        <v>278</v>
      </c>
      <c r="D572" s="2" t="s">
        <v>1180</v>
      </c>
      <c r="E572" s="26" t="s">
        <v>279</v>
      </c>
      <c r="F572" s="2" t="s">
        <v>42</v>
      </c>
      <c r="G572" s="2" t="s">
        <v>1824</v>
      </c>
      <c r="H572" s="2" t="s">
        <v>285</v>
      </c>
      <c r="I572" s="356">
        <v>19500</v>
      </c>
      <c r="J572" s="342">
        <v>35.9</v>
      </c>
      <c r="K572" s="357">
        <f t="shared" si="25"/>
        <v>543.175487465181</v>
      </c>
      <c r="L572" s="476">
        <v>60</v>
      </c>
      <c r="M572" s="343">
        <f t="shared" si="26"/>
        <v>325</v>
      </c>
      <c r="N572" s="344">
        <f ca="1" t="shared" si="24"/>
        <v>149</v>
      </c>
      <c r="O572" s="358">
        <v>1</v>
      </c>
      <c r="P572" s="340" t="s">
        <v>525</v>
      </c>
    </row>
    <row r="573" spans="2:16" ht="39.75" customHeight="1">
      <c r="B573" s="25">
        <v>40099</v>
      </c>
      <c r="C573" s="340" t="s">
        <v>278</v>
      </c>
      <c r="D573" s="2" t="s">
        <v>1181</v>
      </c>
      <c r="E573" s="26" t="s">
        <v>279</v>
      </c>
      <c r="F573" s="2" t="s">
        <v>42</v>
      </c>
      <c r="G573" s="2" t="s">
        <v>1824</v>
      </c>
      <c r="H573" s="2" t="s">
        <v>285</v>
      </c>
      <c r="I573" s="356">
        <v>19500</v>
      </c>
      <c r="J573" s="342">
        <v>35.9</v>
      </c>
      <c r="K573" s="357">
        <f t="shared" si="25"/>
        <v>543.175487465181</v>
      </c>
      <c r="L573" s="476">
        <v>60</v>
      </c>
      <c r="M573" s="343">
        <f t="shared" si="26"/>
        <v>325</v>
      </c>
      <c r="N573" s="344">
        <f ca="1" t="shared" si="24"/>
        <v>149</v>
      </c>
      <c r="O573" s="358">
        <v>1</v>
      </c>
      <c r="P573" s="340" t="s">
        <v>525</v>
      </c>
    </row>
    <row r="574" spans="2:16" ht="39.75" customHeight="1">
      <c r="B574" s="25">
        <v>40099</v>
      </c>
      <c r="C574" s="340" t="s">
        <v>278</v>
      </c>
      <c r="D574" s="2" t="s">
        <v>1118</v>
      </c>
      <c r="E574" s="26" t="s">
        <v>462</v>
      </c>
      <c r="F574" s="2" t="s">
        <v>42</v>
      </c>
      <c r="G574" s="2" t="s">
        <v>1824</v>
      </c>
      <c r="H574" s="2" t="s">
        <v>317</v>
      </c>
      <c r="I574" s="201">
        <v>21090</v>
      </c>
      <c r="J574" s="342">
        <v>35.9</v>
      </c>
      <c r="K574" s="357">
        <f t="shared" si="25"/>
        <v>587.4651810584959</v>
      </c>
      <c r="L574" s="477">
        <v>60</v>
      </c>
      <c r="M574" s="343">
        <f t="shared" si="26"/>
        <v>351.5</v>
      </c>
      <c r="N574" s="344">
        <f ca="1" t="shared" si="24"/>
        <v>149</v>
      </c>
      <c r="O574" s="33">
        <v>1</v>
      </c>
      <c r="P574" s="340" t="s">
        <v>525</v>
      </c>
    </row>
    <row r="575" spans="2:16" ht="39.75" customHeight="1">
      <c r="B575" s="25">
        <v>40099</v>
      </c>
      <c r="C575" s="340" t="s">
        <v>278</v>
      </c>
      <c r="D575" s="2" t="s">
        <v>1119</v>
      </c>
      <c r="E575" s="26" t="s">
        <v>462</v>
      </c>
      <c r="F575" s="2" t="s">
        <v>42</v>
      </c>
      <c r="G575" s="2" t="s">
        <v>1824</v>
      </c>
      <c r="H575" s="2" t="s">
        <v>317</v>
      </c>
      <c r="I575" s="201">
        <v>21090</v>
      </c>
      <c r="J575" s="342">
        <v>35.9</v>
      </c>
      <c r="K575" s="357">
        <f t="shared" si="25"/>
        <v>587.4651810584959</v>
      </c>
      <c r="L575" s="477">
        <v>60</v>
      </c>
      <c r="M575" s="343">
        <f t="shared" si="26"/>
        <v>351.5</v>
      </c>
      <c r="N575" s="344">
        <f ca="1" t="shared" si="24"/>
        <v>149</v>
      </c>
      <c r="O575" s="33">
        <v>1</v>
      </c>
      <c r="P575" s="340" t="s">
        <v>525</v>
      </c>
    </row>
    <row r="576" spans="2:16" ht="39.75" customHeight="1">
      <c r="B576" s="25">
        <v>40099</v>
      </c>
      <c r="C576" s="340" t="s">
        <v>278</v>
      </c>
      <c r="D576" s="2" t="s">
        <v>1117</v>
      </c>
      <c r="E576" s="26" t="s">
        <v>279</v>
      </c>
      <c r="F576" s="2" t="s">
        <v>42</v>
      </c>
      <c r="G576" s="2" t="s">
        <v>1824</v>
      </c>
      <c r="H576" s="2" t="s">
        <v>317</v>
      </c>
      <c r="I576" s="201">
        <v>19500</v>
      </c>
      <c r="J576" s="342">
        <v>35.9</v>
      </c>
      <c r="K576" s="357">
        <f t="shared" si="25"/>
        <v>543.175487465181</v>
      </c>
      <c r="L576" s="477">
        <v>60</v>
      </c>
      <c r="M576" s="343">
        <f t="shared" si="26"/>
        <v>325</v>
      </c>
      <c r="N576" s="344">
        <f ca="1" t="shared" si="24"/>
        <v>149</v>
      </c>
      <c r="O576" s="33">
        <v>1</v>
      </c>
      <c r="P576" s="340" t="s">
        <v>525</v>
      </c>
    </row>
    <row r="577" spans="2:16" ht="39.75" customHeight="1">
      <c r="B577" s="25">
        <v>40113</v>
      </c>
      <c r="C577" s="340" t="s">
        <v>280</v>
      </c>
      <c r="D577" s="2" t="s">
        <v>1474</v>
      </c>
      <c r="E577" s="26" t="s">
        <v>120</v>
      </c>
      <c r="F577" s="2" t="s">
        <v>42</v>
      </c>
      <c r="G577" s="2" t="s">
        <v>1865</v>
      </c>
      <c r="H577" s="2" t="s">
        <v>402</v>
      </c>
      <c r="I577" s="356">
        <v>1170.1079583803903</v>
      </c>
      <c r="J577" s="342">
        <v>35.9</v>
      </c>
      <c r="K577" s="357">
        <f t="shared" si="25"/>
        <v>32.59353644513622</v>
      </c>
      <c r="L577" s="476">
        <v>60</v>
      </c>
      <c r="M577" s="343">
        <f t="shared" si="26"/>
        <v>19.501799306339837</v>
      </c>
      <c r="N577" s="344">
        <f ca="1" t="shared" si="24"/>
        <v>148</v>
      </c>
      <c r="O577" s="358">
        <v>1</v>
      </c>
      <c r="P577" s="340" t="s">
        <v>513</v>
      </c>
    </row>
    <row r="578" spans="2:16" ht="39.75" customHeight="1">
      <c r="B578" s="25">
        <v>40113</v>
      </c>
      <c r="C578" s="340" t="s">
        <v>280</v>
      </c>
      <c r="D578" s="2" t="s">
        <v>1475</v>
      </c>
      <c r="E578" s="26" t="s">
        <v>180</v>
      </c>
      <c r="F578" s="2" t="s">
        <v>42</v>
      </c>
      <c r="G578" s="2" t="s">
        <v>1865</v>
      </c>
      <c r="H578" s="2" t="s">
        <v>402</v>
      </c>
      <c r="I578" s="356">
        <v>2189.4020021250863</v>
      </c>
      <c r="J578" s="342">
        <v>35.9</v>
      </c>
      <c r="K578" s="357">
        <f t="shared" si="25"/>
        <v>60.98612819289934</v>
      </c>
      <c r="L578" s="476">
        <v>60</v>
      </c>
      <c r="M578" s="343">
        <f t="shared" si="26"/>
        <v>36.49003336875144</v>
      </c>
      <c r="N578" s="344">
        <f ca="1" t="shared" si="24"/>
        <v>148</v>
      </c>
      <c r="O578" s="358">
        <v>1</v>
      </c>
      <c r="P578" s="340" t="s">
        <v>513</v>
      </c>
    </row>
    <row r="579" spans="2:16" ht="39.75" customHeight="1">
      <c r="B579" s="25">
        <v>40113</v>
      </c>
      <c r="C579" s="340" t="s">
        <v>280</v>
      </c>
      <c r="D579" s="2" t="s">
        <v>1517</v>
      </c>
      <c r="E579" s="26" t="s">
        <v>179</v>
      </c>
      <c r="F579" s="2" t="s">
        <v>42</v>
      </c>
      <c r="G579" s="2" t="s">
        <v>1869</v>
      </c>
      <c r="H579" s="2" t="s">
        <v>409</v>
      </c>
      <c r="I579" s="356">
        <v>8320.767704038331</v>
      </c>
      <c r="J579" s="342">
        <v>35.9</v>
      </c>
      <c r="K579" s="357">
        <f t="shared" si="25"/>
        <v>231.77625916541314</v>
      </c>
      <c r="L579" s="476">
        <v>60</v>
      </c>
      <c r="M579" s="343">
        <f t="shared" si="26"/>
        <v>138.6794617339722</v>
      </c>
      <c r="N579" s="344">
        <f ca="1" t="shared" si="24"/>
        <v>148</v>
      </c>
      <c r="O579" s="358">
        <v>1</v>
      </c>
      <c r="P579" s="340" t="s">
        <v>513</v>
      </c>
    </row>
    <row r="580" spans="2:16" ht="39.75" customHeight="1">
      <c r="B580" s="25">
        <v>40113</v>
      </c>
      <c r="C580" s="340" t="s">
        <v>280</v>
      </c>
      <c r="D580" s="2" t="s">
        <v>1518</v>
      </c>
      <c r="E580" s="26" t="s">
        <v>120</v>
      </c>
      <c r="F580" s="2" t="s">
        <v>42</v>
      </c>
      <c r="G580" s="2" t="s">
        <v>1869</v>
      </c>
      <c r="H580" s="2" t="s">
        <v>409</v>
      </c>
      <c r="I580" s="356">
        <v>1170.1079583803903</v>
      </c>
      <c r="J580" s="342">
        <v>35.9</v>
      </c>
      <c r="K580" s="357">
        <f t="shared" si="25"/>
        <v>32.59353644513622</v>
      </c>
      <c r="L580" s="476">
        <v>60</v>
      </c>
      <c r="M580" s="343">
        <f t="shared" si="26"/>
        <v>19.501799306339837</v>
      </c>
      <c r="N580" s="344">
        <f ca="1" t="shared" si="24"/>
        <v>148</v>
      </c>
      <c r="O580" s="358">
        <v>1</v>
      </c>
      <c r="P580" s="340" t="s">
        <v>513</v>
      </c>
    </row>
    <row r="581" spans="2:16" ht="39.75" customHeight="1">
      <c r="B581" s="25">
        <v>40113</v>
      </c>
      <c r="C581" s="340" t="s">
        <v>281</v>
      </c>
      <c r="D581" s="2" t="s">
        <v>1519</v>
      </c>
      <c r="E581" s="26" t="s">
        <v>180</v>
      </c>
      <c r="F581" s="2" t="s">
        <v>42</v>
      </c>
      <c r="G581" s="2" t="s">
        <v>1869</v>
      </c>
      <c r="H581" s="2" t="s">
        <v>409</v>
      </c>
      <c r="I581" s="356">
        <v>2189.4020021250863</v>
      </c>
      <c r="J581" s="342">
        <v>35.9</v>
      </c>
      <c r="K581" s="357">
        <f t="shared" si="25"/>
        <v>60.98612819289934</v>
      </c>
      <c r="L581" s="476">
        <v>60</v>
      </c>
      <c r="M581" s="343">
        <f t="shared" si="26"/>
        <v>36.49003336875144</v>
      </c>
      <c r="N581" s="344">
        <f ca="1" t="shared" si="24"/>
        <v>148</v>
      </c>
      <c r="O581" s="358">
        <v>1</v>
      </c>
      <c r="P581" s="340" t="s">
        <v>513</v>
      </c>
    </row>
    <row r="582" spans="2:16" ht="39.75" customHeight="1">
      <c r="B582" s="25">
        <v>40113</v>
      </c>
      <c r="C582" s="340" t="s">
        <v>281</v>
      </c>
      <c r="D582" s="2" t="s">
        <v>1520</v>
      </c>
      <c r="E582" s="26" t="s">
        <v>522</v>
      </c>
      <c r="F582" s="2" t="s">
        <v>42</v>
      </c>
      <c r="G582" s="2" t="s">
        <v>1869</v>
      </c>
      <c r="H582" s="2" t="s">
        <v>409</v>
      </c>
      <c r="I582" s="356">
        <v>27359.72430684104</v>
      </c>
      <c r="J582" s="342">
        <v>35.9</v>
      </c>
      <c r="K582" s="357">
        <f t="shared" si="25"/>
        <v>762.1093121682741</v>
      </c>
      <c r="L582" s="476">
        <v>60</v>
      </c>
      <c r="M582" s="343">
        <f t="shared" si="26"/>
        <v>455.99540511401733</v>
      </c>
      <c r="N582" s="344">
        <f ca="1" t="shared" si="24"/>
        <v>148</v>
      </c>
      <c r="O582" s="358">
        <v>1</v>
      </c>
      <c r="P582" s="340" t="s">
        <v>513</v>
      </c>
    </row>
    <row r="583" spans="2:16" ht="39.75" customHeight="1">
      <c r="B583" s="25">
        <v>40113</v>
      </c>
      <c r="C583" s="340" t="s">
        <v>281</v>
      </c>
      <c r="D583" s="2" t="s">
        <v>1509</v>
      </c>
      <c r="E583" s="26" t="s">
        <v>346</v>
      </c>
      <c r="F583" s="2" t="s">
        <v>42</v>
      </c>
      <c r="G583" s="2" t="s">
        <v>1869</v>
      </c>
      <c r="H583" s="2" t="s">
        <v>409</v>
      </c>
      <c r="I583" s="356">
        <v>5761.203170858432</v>
      </c>
      <c r="J583" s="342">
        <v>35.9</v>
      </c>
      <c r="K583" s="357">
        <f t="shared" si="25"/>
        <v>160.4791969598449</v>
      </c>
      <c r="L583" s="476">
        <v>60</v>
      </c>
      <c r="M583" s="343">
        <f t="shared" si="26"/>
        <v>96.02005284764053</v>
      </c>
      <c r="N583" s="344">
        <f ca="1" t="shared" si="24"/>
        <v>148</v>
      </c>
      <c r="O583" s="358">
        <v>1</v>
      </c>
      <c r="P583" s="340" t="s">
        <v>389</v>
      </c>
    </row>
    <row r="584" spans="2:16" ht="39.75" customHeight="1">
      <c r="B584" s="25">
        <v>40113</v>
      </c>
      <c r="C584" s="340" t="s">
        <v>281</v>
      </c>
      <c r="D584" s="2" t="s">
        <v>1508</v>
      </c>
      <c r="E584" s="26" t="s">
        <v>282</v>
      </c>
      <c r="F584" s="2" t="s">
        <v>42</v>
      </c>
      <c r="G584" s="2" t="s">
        <v>1869</v>
      </c>
      <c r="H584" s="2" t="s">
        <v>409</v>
      </c>
      <c r="I584" s="356">
        <v>6264.6750130190585</v>
      </c>
      <c r="J584" s="342">
        <v>35.9</v>
      </c>
      <c r="K584" s="357">
        <f t="shared" si="25"/>
        <v>174.5034822567983</v>
      </c>
      <c r="L584" s="476">
        <v>60</v>
      </c>
      <c r="M584" s="343">
        <f t="shared" si="26"/>
        <v>104.41125021698431</v>
      </c>
      <c r="N584" s="344">
        <f aca="true" ca="1" t="shared" si="27" ref="N584:N647">IF(B584&lt;&gt;0,(ROUND((NOW()-B584)/30,0)),0)</f>
        <v>148</v>
      </c>
      <c r="O584" s="358">
        <v>1</v>
      </c>
      <c r="P584" s="340" t="s">
        <v>389</v>
      </c>
    </row>
    <row r="585" spans="2:16" ht="39.75" customHeight="1">
      <c r="B585" s="25">
        <v>40113</v>
      </c>
      <c r="C585" s="340" t="s">
        <v>281</v>
      </c>
      <c r="D585" s="2" t="s">
        <v>1503</v>
      </c>
      <c r="E585" s="26" t="s">
        <v>387</v>
      </c>
      <c r="F585" s="2" t="s">
        <v>42</v>
      </c>
      <c r="G585" s="2" t="s">
        <v>1869</v>
      </c>
      <c r="H585" s="2" t="s">
        <v>409</v>
      </c>
      <c r="I585" s="356">
        <v>4430.989062937297</v>
      </c>
      <c r="J585" s="342">
        <v>35.9</v>
      </c>
      <c r="K585" s="357">
        <f aca="true" t="shared" si="28" ref="K585:K648">+I585/J585</f>
        <v>123.42587919045395</v>
      </c>
      <c r="L585" s="476">
        <v>60</v>
      </c>
      <c r="M585" s="343">
        <f aca="true" t="shared" si="29" ref="M585:M649">+I585/L665</f>
        <v>73.84981771562161</v>
      </c>
      <c r="N585" s="344">
        <f ca="1" t="shared" si="27"/>
        <v>148</v>
      </c>
      <c r="O585" s="358">
        <v>1</v>
      </c>
      <c r="P585" s="340" t="s">
        <v>389</v>
      </c>
    </row>
    <row r="586" spans="2:16" ht="39.75" customHeight="1">
      <c r="B586" s="25">
        <v>40113</v>
      </c>
      <c r="C586" s="340" t="s">
        <v>281</v>
      </c>
      <c r="D586" s="2" t="s">
        <v>1507</v>
      </c>
      <c r="E586" s="26" t="s">
        <v>121</v>
      </c>
      <c r="F586" s="2" t="s">
        <v>42</v>
      </c>
      <c r="G586" s="2" t="s">
        <v>1869</v>
      </c>
      <c r="H586" s="2" t="s">
        <v>409</v>
      </c>
      <c r="I586" s="356">
        <v>5063.987500499768</v>
      </c>
      <c r="J586" s="342">
        <v>35.9</v>
      </c>
      <c r="K586" s="357">
        <f t="shared" si="28"/>
        <v>141.0581476462331</v>
      </c>
      <c r="L586" s="476">
        <v>60</v>
      </c>
      <c r="M586" s="343">
        <f t="shared" si="29"/>
        <v>84.39979167499614</v>
      </c>
      <c r="N586" s="344">
        <f ca="1" t="shared" si="27"/>
        <v>148</v>
      </c>
      <c r="O586" s="358">
        <v>1</v>
      </c>
      <c r="P586" s="340" t="s">
        <v>389</v>
      </c>
    </row>
    <row r="587" spans="2:16" ht="39.75" customHeight="1">
      <c r="B587" s="25">
        <v>40113</v>
      </c>
      <c r="C587" s="340" t="s">
        <v>281</v>
      </c>
      <c r="D587" s="2" t="s">
        <v>1428</v>
      </c>
      <c r="E587" s="26" t="s">
        <v>179</v>
      </c>
      <c r="F587" s="2" t="s">
        <v>42</v>
      </c>
      <c r="G587" s="2" t="s">
        <v>1859</v>
      </c>
      <c r="H587" s="2" t="s">
        <v>17</v>
      </c>
      <c r="I587" s="356">
        <v>8320.767704038331</v>
      </c>
      <c r="J587" s="342">
        <v>35.9</v>
      </c>
      <c r="K587" s="357">
        <f t="shared" si="28"/>
        <v>231.77625916541314</v>
      </c>
      <c r="L587" s="476">
        <v>60</v>
      </c>
      <c r="M587" s="343">
        <f t="shared" si="29"/>
        <v>138.6794617339722</v>
      </c>
      <c r="N587" s="344">
        <f ca="1" t="shared" si="27"/>
        <v>148</v>
      </c>
      <c r="O587" s="358">
        <v>1</v>
      </c>
      <c r="P587" s="340" t="s">
        <v>513</v>
      </c>
    </row>
    <row r="588" spans="2:16" ht="39.75" customHeight="1">
      <c r="B588" s="25">
        <v>40113</v>
      </c>
      <c r="C588" s="340" t="s">
        <v>281</v>
      </c>
      <c r="D588" s="2" t="s">
        <v>1429</v>
      </c>
      <c r="E588" s="26" t="s">
        <v>522</v>
      </c>
      <c r="F588" s="2" t="s">
        <v>42</v>
      </c>
      <c r="G588" s="2" t="s">
        <v>1859</v>
      </c>
      <c r="H588" s="2" t="s">
        <v>17</v>
      </c>
      <c r="I588" s="356">
        <v>27359.72430684104</v>
      </c>
      <c r="J588" s="342">
        <v>35.9</v>
      </c>
      <c r="K588" s="357">
        <f t="shared" si="28"/>
        <v>762.1093121682741</v>
      </c>
      <c r="L588" s="476">
        <v>60</v>
      </c>
      <c r="M588" s="343">
        <f t="shared" si="29"/>
        <v>455.99540511401733</v>
      </c>
      <c r="N588" s="344">
        <f ca="1" t="shared" si="27"/>
        <v>148</v>
      </c>
      <c r="O588" s="358">
        <v>1</v>
      </c>
      <c r="P588" s="340" t="s">
        <v>513</v>
      </c>
    </row>
    <row r="589" spans="2:16" ht="39.75" customHeight="1">
      <c r="B589" s="25">
        <v>40113</v>
      </c>
      <c r="C589" s="340" t="s">
        <v>281</v>
      </c>
      <c r="D589" s="2" t="s">
        <v>1425</v>
      </c>
      <c r="E589" s="26" t="s">
        <v>387</v>
      </c>
      <c r="F589" s="2" t="s">
        <v>42</v>
      </c>
      <c r="G589" s="2" t="s">
        <v>1859</v>
      </c>
      <c r="H589" s="2" t="s">
        <v>17</v>
      </c>
      <c r="I589" s="356">
        <v>4430.989062937297</v>
      </c>
      <c r="J589" s="342">
        <v>35.9</v>
      </c>
      <c r="K589" s="357">
        <f t="shared" si="28"/>
        <v>123.42587919045395</v>
      </c>
      <c r="L589" s="476">
        <v>60</v>
      </c>
      <c r="M589" s="343">
        <f t="shared" si="29"/>
        <v>73.84981771562161</v>
      </c>
      <c r="N589" s="344">
        <f ca="1" t="shared" si="27"/>
        <v>148</v>
      </c>
      <c r="O589" s="358">
        <v>1</v>
      </c>
      <c r="P589" s="340" t="s">
        <v>389</v>
      </c>
    </row>
    <row r="590" spans="2:16" ht="39.75" customHeight="1">
      <c r="B590" s="25">
        <v>40113</v>
      </c>
      <c r="C590" s="340" t="s">
        <v>281</v>
      </c>
      <c r="D590" s="2" t="s">
        <v>1426</v>
      </c>
      <c r="E590" s="26" t="s">
        <v>288</v>
      </c>
      <c r="F590" s="2" t="s">
        <v>42</v>
      </c>
      <c r="G590" s="2" t="s">
        <v>1859</v>
      </c>
      <c r="H590" s="2" t="s">
        <v>17</v>
      </c>
      <c r="I590" s="356">
        <v>8295.6542131796</v>
      </c>
      <c r="J590" s="342">
        <v>35.9</v>
      </c>
      <c r="K590" s="357">
        <f t="shared" si="28"/>
        <v>231.0767190300724</v>
      </c>
      <c r="L590" s="476">
        <v>60</v>
      </c>
      <c r="M590" s="343">
        <f t="shared" si="29"/>
        <v>138.2609035529933</v>
      </c>
      <c r="N590" s="344">
        <f ca="1" t="shared" si="27"/>
        <v>148</v>
      </c>
      <c r="O590" s="358">
        <v>1</v>
      </c>
      <c r="P590" s="340" t="s">
        <v>389</v>
      </c>
    </row>
    <row r="591" spans="2:16" ht="39.75" customHeight="1">
      <c r="B591" s="25">
        <v>40113</v>
      </c>
      <c r="C591" s="340" t="s">
        <v>281</v>
      </c>
      <c r="D591" s="2" t="s">
        <v>1457</v>
      </c>
      <c r="E591" s="26" t="s">
        <v>528</v>
      </c>
      <c r="F591" s="2" t="s">
        <v>42</v>
      </c>
      <c r="G591" s="2" t="s">
        <v>1843</v>
      </c>
      <c r="H591" s="2" t="s">
        <v>813</v>
      </c>
      <c r="I591" s="356">
        <v>2767.970238179703</v>
      </c>
      <c r="J591" s="342">
        <v>35.9</v>
      </c>
      <c r="K591" s="357">
        <f t="shared" si="28"/>
        <v>77.10223504678838</v>
      </c>
      <c r="L591" s="476">
        <v>60</v>
      </c>
      <c r="M591" s="343">
        <f t="shared" si="29"/>
        <v>46.13283730299505</v>
      </c>
      <c r="N591" s="344">
        <f ca="1" t="shared" si="27"/>
        <v>148</v>
      </c>
      <c r="O591" s="358">
        <v>1</v>
      </c>
      <c r="P591" s="340" t="s">
        <v>389</v>
      </c>
    </row>
    <row r="592" spans="2:16" ht="39.75" customHeight="1">
      <c r="B592" s="25">
        <v>40113</v>
      </c>
      <c r="C592" s="340" t="s">
        <v>281</v>
      </c>
      <c r="D592" s="2" t="s">
        <v>1378</v>
      </c>
      <c r="E592" s="26" t="s">
        <v>179</v>
      </c>
      <c r="F592" s="2" t="s">
        <v>42</v>
      </c>
      <c r="G592" s="2" t="s">
        <v>1844</v>
      </c>
      <c r="H592" s="2" t="s">
        <v>315</v>
      </c>
      <c r="I592" s="356">
        <v>8320.767704038331</v>
      </c>
      <c r="J592" s="342">
        <v>35.9</v>
      </c>
      <c r="K592" s="357">
        <f t="shared" si="28"/>
        <v>231.77625916541314</v>
      </c>
      <c r="L592" s="476">
        <v>60</v>
      </c>
      <c r="M592" s="343">
        <f t="shared" si="29"/>
        <v>138.6794617339722</v>
      </c>
      <c r="N592" s="344">
        <f ca="1" t="shared" si="27"/>
        <v>148</v>
      </c>
      <c r="O592" s="358">
        <v>1</v>
      </c>
      <c r="P592" s="340" t="s">
        <v>513</v>
      </c>
    </row>
    <row r="593" spans="2:16" ht="39.75" customHeight="1">
      <c r="B593" s="25">
        <v>40113</v>
      </c>
      <c r="C593" s="340" t="s">
        <v>281</v>
      </c>
      <c r="D593" s="2" t="s">
        <v>1374</v>
      </c>
      <c r="E593" s="26" t="s">
        <v>120</v>
      </c>
      <c r="F593" s="2" t="s">
        <v>42</v>
      </c>
      <c r="G593" s="2" t="s">
        <v>1844</v>
      </c>
      <c r="H593" s="2" t="s">
        <v>315</v>
      </c>
      <c r="I593" s="356">
        <v>1170.1079583803903</v>
      </c>
      <c r="J593" s="342">
        <v>35.9</v>
      </c>
      <c r="K593" s="357">
        <f t="shared" si="28"/>
        <v>32.59353644513622</v>
      </c>
      <c r="L593" s="476">
        <v>60</v>
      </c>
      <c r="M593" s="343">
        <f t="shared" si="29"/>
        <v>19.501799306339837</v>
      </c>
      <c r="N593" s="344">
        <f ca="1" t="shared" si="27"/>
        <v>148</v>
      </c>
      <c r="O593" s="358">
        <v>1</v>
      </c>
      <c r="P593" s="340" t="s">
        <v>513</v>
      </c>
    </row>
    <row r="594" spans="2:16" ht="39.75" customHeight="1">
      <c r="B594" s="25">
        <v>40113</v>
      </c>
      <c r="C594" s="340" t="s">
        <v>281</v>
      </c>
      <c r="D594" s="2" t="s">
        <v>1375</v>
      </c>
      <c r="E594" s="26" t="s">
        <v>120</v>
      </c>
      <c r="F594" s="2" t="s">
        <v>42</v>
      </c>
      <c r="G594" s="2" t="s">
        <v>1844</v>
      </c>
      <c r="H594" s="2" t="s">
        <v>315</v>
      </c>
      <c r="I594" s="356">
        <v>1170.1079583803903</v>
      </c>
      <c r="J594" s="342">
        <v>35.9</v>
      </c>
      <c r="K594" s="357">
        <f t="shared" si="28"/>
        <v>32.59353644513622</v>
      </c>
      <c r="L594" s="476">
        <v>60</v>
      </c>
      <c r="M594" s="343">
        <f t="shared" si="29"/>
        <v>19.501799306339837</v>
      </c>
      <c r="N594" s="344">
        <f ca="1" t="shared" si="27"/>
        <v>148</v>
      </c>
      <c r="O594" s="358">
        <v>1</v>
      </c>
      <c r="P594" s="340" t="s">
        <v>513</v>
      </c>
    </row>
    <row r="595" spans="2:16" ht="39.75" customHeight="1">
      <c r="B595" s="25">
        <v>40113</v>
      </c>
      <c r="C595" s="340" t="s">
        <v>281</v>
      </c>
      <c r="D595" s="2" t="s">
        <v>1376</v>
      </c>
      <c r="E595" s="26" t="s">
        <v>522</v>
      </c>
      <c r="F595" s="2" t="s">
        <v>42</v>
      </c>
      <c r="G595" s="2" t="s">
        <v>1844</v>
      </c>
      <c r="H595" s="2" t="s">
        <v>315</v>
      </c>
      <c r="I595" s="356">
        <v>27359.72430684104</v>
      </c>
      <c r="J595" s="342">
        <v>35.9</v>
      </c>
      <c r="K595" s="357">
        <f t="shared" si="28"/>
        <v>762.1093121682741</v>
      </c>
      <c r="L595" s="476">
        <v>60</v>
      </c>
      <c r="M595" s="343">
        <f t="shared" si="29"/>
        <v>455.99540511401733</v>
      </c>
      <c r="N595" s="344">
        <f ca="1" t="shared" si="27"/>
        <v>148</v>
      </c>
      <c r="O595" s="358">
        <v>1</v>
      </c>
      <c r="P595" s="340" t="s">
        <v>389</v>
      </c>
    </row>
    <row r="596" spans="2:16" ht="39.75" customHeight="1">
      <c r="B596" s="25">
        <v>40113</v>
      </c>
      <c r="C596" s="340" t="s">
        <v>281</v>
      </c>
      <c r="D596" s="2" t="s">
        <v>1377</v>
      </c>
      <c r="E596" s="26" t="s">
        <v>522</v>
      </c>
      <c r="F596" s="2" t="s">
        <v>42</v>
      </c>
      <c r="G596" s="2" t="s">
        <v>1844</v>
      </c>
      <c r="H596" s="2" t="s">
        <v>315</v>
      </c>
      <c r="I596" s="356">
        <v>27359.72430684104</v>
      </c>
      <c r="J596" s="342">
        <v>35.9</v>
      </c>
      <c r="K596" s="357">
        <f t="shared" si="28"/>
        <v>762.1093121682741</v>
      </c>
      <c r="L596" s="476">
        <v>60</v>
      </c>
      <c r="M596" s="343">
        <f t="shared" si="29"/>
        <v>455.99540511401733</v>
      </c>
      <c r="N596" s="344">
        <f ca="1" t="shared" si="27"/>
        <v>148</v>
      </c>
      <c r="O596" s="358">
        <v>1</v>
      </c>
      <c r="P596" s="340" t="s">
        <v>389</v>
      </c>
    </row>
    <row r="597" spans="2:16" ht="39.75" customHeight="1">
      <c r="B597" s="25">
        <v>40113</v>
      </c>
      <c r="C597" s="340" t="s">
        <v>281</v>
      </c>
      <c r="D597" s="2" t="s">
        <v>1360</v>
      </c>
      <c r="E597" s="26" t="s">
        <v>346</v>
      </c>
      <c r="F597" s="2" t="s">
        <v>42</v>
      </c>
      <c r="G597" s="2" t="s">
        <v>1844</v>
      </c>
      <c r="H597" s="2" t="s">
        <v>315</v>
      </c>
      <c r="I597" s="356">
        <v>5761.203170858432</v>
      </c>
      <c r="J597" s="342">
        <v>35.9</v>
      </c>
      <c r="K597" s="357">
        <f t="shared" si="28"/>
        <v>160.4791969598449</v>
      </c>
      <c r="L597" s="476">
        <v>60</v>
      </c>
      <c r="M597" s="343">
        <f t="shared" si="29"/>
        <v>96.02005284764053</v>
      </c>
      <c r="N597" s="344">
        <f ca="1" t="shared" si="27"/>
        <v>148</v>
      </c>
      <c r="O597" s="358">
        <v>1</v>
      </c>
      <c r="P597" s="340" t="s">
        <v>389</v>
      </c>
    </row>
    <row r="598" spans="2:16" ht="39.75" customHeight="1">
      <c r="B598" s="25">
        <v>40113</v>
      </c>
      <c r="C598" s="340" t="s">
        <v>281</v>
      </c>
      <c r="D598" s="2" t="s">
        <v>1359</v>
      </c>
      <c r="E598" s="26" t="s">
        <v>121</v>
      </c>
      <c r="F598" s="2" t="s">
        <v>42</v>
      </c>
      <c r="G598" s="2" t="s">
        <v>1844</v>
      </c>
      <c r="H598" s="2" t="s">
        <v>315</v>
      </c>
      <c r="I598" s="356">
        <v>5063.987500499768</v>
      </c>
      <c r="J598" s="342">
        <v>35.9</v>
      </c>
      <c r="K598" s="357">
        <f t="shared" si="28"/>
        <v>141.0581476462331</v>
      </c>
      <c r="L598" s="476">
        <v>60</v>
      </c>
      <c r="M598" s="343">
        <f t="shared" si="29"/>
        <v>84.39979167499614</v>
      </c>
      <c r="N598" s="344">
        <f ca="1" t="shared" si="27"/>
        <v>148</v>
      </c>
      <c r="O598" s="358">
        <v>1</v>
      </c>
      <c r="P598" s="340" t="s">
        <v>389</v>
      </c>
    </row>
    <row r="599" spans="2:16" ht="39.75" customHeight="1">
      <c r="B599" s="25">
        <v>40113</v>
      </c>
      <c r="C599" s="340" t="s">
        <v>281</v>
      </c>
      <c r="D599" s="2" t="s">
        <v>1361</v>
      </c>
      <c r="E599" s="26" t="s">
        <v>414</v>
      </c>
      <c r="F599" s="2" t="s">
        <v>42</v>
      </c>
      <c r="G599" s="2" t="s">
        <v>1844</v>
      </c>
      <c r="H599" s="2" t="s">
        <v>315</v>
      </c>
      <c r="I599" s="356">
        <v>8295.6542131796</v>
      </c>
      <c r="J599" s="342">
        <v>35.9</v>
      </c>
      <c r="K599" s="357">
        <f t="shared" si="28"/>
        <v>231.0767190300724</v>
      </c>
      <c r="L599" s="476">
        <v>60</v>
      </c>
      <c r="M599" s="343">
        <f t="shared" si="29"/>
        <v>138.2609035529933</v>
      </c>
      <c r="N599" s="344">
        <f ca="1" t="shared" si="27"/>
        <v>148</v>
      </c>
      <c r="O599" s="358">
        <v>1</v>
      </c>
      <c r="P599" s="340" t="s">
        <v>389</v>
      </c>
    </row>
    <row r="600" spans="2:16" ht="39.75" customHeight="1">
      <c r="B600" s="25">
        <v>40113</v>
      </c>
      <c r="C600" s="340" t="s">
        <v>281</v>
      </c>
      <c r="D600" s="2" t="s">
        <v>1362</v>
      </c>
      <c r="E600" s="26" t="s">
        <v>283</v>
      </c>
      <c r="F600" s="2" t="s">
        <v>399</v>
      </c>
      <c r="G600" s="2" t="s">
        <v>1844</v>
      </c>
      <c r="H600" s="2" t="s">
        <v>315</v>
      </c>
      <c r="I600" s="356">
        <v>8087.67993356431</v>
      </c>
      <c r="J600" s="342">
        <v>35.9</v>
      </c>
      <c r="K600" s="357">
        <f t="shared" si="28"/>
        <v>225.2835636090337</v>
      </c>
      <c r="L600" s="476">
        <v>60</v>
      </c>
      <c r="M600" s="343">
        <f t="shared" si="29"/>
        <v>134.79466555940516</v>
      </c>
      <c r="N600" s="344">
        <f ca="1" t="shared" si="27"/>
        <v>148</v>
      </c>
      <c r="O600" s="358">
        <v>1</v>
      </c>
      <c r="P600" s="340" t="s">
        <v>389</v>
      </c>
    </row>
    <row r="601" spans="2:16" ht="39.75" customHeight="1">
      <c r="B601" s="25">
        <v>40113</v>
      </c>
      <c r="C601" s="340" t="s">
        <v>281</v>
      </c>
      <c r="D601" s="2" t="s">
        <v>1678</v>
      </c>
      <c r="E601" s="26" t="s">
        <v>120</v>
      </c>
      <c r="F601" s="2" t="s">
        <v>42</v>
      </c>
      <c r="G601" s="2" t="s">
        <v>1871</v>
      </c>
      <c r="H601" s="2" t="s">
        <v>316</v>
      </c>
      <c r="I601" s="356">
        <v>1170.1079583803903</v>
      </c>
      <c r="J601" s="342">
        <v>35.9</v>
      </c>
      <c r="K601" s="357">
        <f t="shared" si="28"/>
        <v>32.59353644513622</v>
      </c>
      <c r="L601" s="476">
        <v>60</v>
      </c>
      <c r="M601" s="343">
        <f t="shared" si="29"/>
        <v>19.501799306339837</v>
      </c>
      <c r="N601" s="344">
        <f ca="1" t="shared" si="27"/>
        <v>148</v>
      </c>
      <c r="O601" s="358">
        <v>1</v>
      </c>
      <c r="P601" s="340" t="s">
        <v>513</v>
      </c>
    </row>
    <row r="602" spans="2:16" ht="39.75" customHeight="1">
      <c r="B602" s="25">
        <v>40113</v>
      </c>
      <c r="C602" s="340" t="s">
        <v>281</v>
      </c>
      <c r="D602" s="2" t="s">
        <v>1679</v>
      </c>
      <c r="E602" s="26" t="s">
        <v>120</v>
      </c>
      <c r="F602" s="2" t="s">
        <v>42</v>
      </c>
      <c r="G602" s="2" t="s">
        <v>1871</v>
      </c>
      <c r="H602" s="2" t="s">
        <v>316</v>
      </c>
      <c r="I602" s="356">
        <v>1170.1079583803903</v>
      </c>
      <c r="J602" s="342">
        <v>35.9</v>
      </c>
      <c r="K602" s="357">
        <f t="shared" si="28"/>
        <v>32.59353644513622</v>
      </c>
      <c r="L602" s="476">
        <v>60</v>
      </c>
      <c r="M602" s="343">
        <f t="shared" si="29"/>
        <v>19.501799306339837</v>
      </c>
      <c r="N602" s="344">
        <f ca="1" t="shared" si="27"/>
        <v>148</v>
      </c>
      <c r="O602" s="358">
        <v>1</v>
      </c>
      <c r="P602" s="340" t="s">
        <v>513</v>
      </c>
    </row>
    <row r="603" spans="2:16" ht="39.75" customHeight="1">
      <c r="B603" s="25">
        <v>40113</v>
      </c>
      <c r="C603" s="340" t="s">
        <v>281</v>
      </c>
      <c r="D603" s="2" t="s">
        <v>1685</v>
      </c>
      <c r="E603" s="26" t="s">
        <v>346</v>
      </c>
      <c r="F603" s="2" t="s">
        <v>42</v>
      </c>
      <c r="G603" s="2" t="s">
        <v>1871</v>
      </c>
      <c r="H603" s="2" t="s">
        <v>316</v>
      </c>
      <c r="I603" s="356">
        <v>5761.203170858432</v>
      </c>
      <c r="J603" s="342">
        <v>35.9</v>
      </c>
      <c r="K603" s="357">
        <f t="shared" si="28"/>
        <v>160.4791969598449</v>
      </c>
      <c r="L603" s="476">
        <v>60</v>
      </c>
      <c r="M603" s="343">
        <f t="shared" si="29"/>
        <v>96.02005284764053</v>
      </c>
      <c r="N603" s="344">
        <f ca="1" t="shared" si="27"/>
        <v>148</v>
      </c>
      <c r="O603" s="358">
        <v>1</v>
      </c>
      <c r="P603" s="340" t="s">
        <v>389</v>
      </c>
    </row>
    <row r="604" spans="2:16" ht="39.75" customHeight="1">
      <c r="B604" s="25">
        <v>40113</v>
      </c>
      <c r="C604" s="340" t="s">
        <v>281</v>
      </c>
      <c r="D604" s="2" t="s">
        <v>1686</v>
      </c>
      <c r="E604" s="26" t="s">
        <v>346</v>
      </c>
      <c r="F604" s="2" t="s">
        <v>42</v>
      </c>
      <c r="G604" s="2" t="s">
        <v>1871</v>
      </c>
      <c r="H604" s="2" t="s">
        <v>316</v>
      </c>
      <c r="I604" s="356">
        <v>5761.203170858432</v>
      </c>
      <c r="J604" s="342">
        <v>35.9</v>
      </c>
      <c r="K604" s="357">
        <f t="shared" si="28"/>
        <v>160.4791969598449</v>
      </c>
      <c r="L604" s="476">
        <v>60</v>
      </c>
      <c r="M604" s="343">
        <f t="shared" si="29"/>
        <v>96.02005284764053</v>
      </c>
      <c r="N604" s="344">
        <f ca="1" t="shared" si="27"/>
        <v>148</v>
      </c>
      <c r="O604" s="358">
        <v>1</v>
      </c>
      <c r="P604" s="340" t="s">
        <v>389</v>
      </c>
    </row>
    <row r="605" spans="2:16" ht="39.75" customHeight="1">
      <c r="B605" s="25">
        <v>40113</v>
      </c>
      <c r="C605" s="340" t="s">
        <v>281</v>
      </c>
      <c r="D605" s="2" t="s">
        <v>1687</v>
      </c>
      <c r="E605" s="26" t="s">
        <v>391</v>
      </c>
      <c r="F605" s="2" t="s">
        <v>42</v>
      </c>
      <c r="G605" s="2" t="s">
        <v>1871</v>
      </c>
      <c r="H605" s="2" t="s">
        <v>316</v>
      </c>
      <c r="I605" s="356">
        <v>4406.164952368293</v>
      </c>
      <c r="J605" s="342">
        <v>35.9</v>
      </c>
      <c r="K605" s="357">
        <f t="shared" si="28"/>
        <v>122.73439978741763</v>
      </c>
      <c r="L605" s="476">
        <v>60</v>
      </c>
      <c r="M605" s="343">
        <f t="shared" si="29"/>
        <v>73.43608253947154</v>
      </c>
      <c r="N605" s="344">
        <f ca="1" t="shared" si="27"/>
        <v>148</v>
      </c>
      <c r="O605" s="358">
        <v>1</v>
      </c>
      <c r="P605" s="340" t="s">
        <v>389</v>
      </c>
    </row>
    <row r="606" spans="2:16" ht="39.75" customHeight="1">
      <c r="B606" s="25">
        <v>40113</v>
      </c>
      <c r="C606" s="340" t="s">
        <v>281</v>
      </c>
      <c r="D606" s="2" t="s">
        <v>1688</v>
      </c>
      <c r="E606" s="26" t="s">
        <v>391</v>
      </c>
      <c r="F606" s="2" t="s">
        <v>42</v>
      </c>
      <c r="G606" s="2" t="s">
        <v>1871</v>
      </c>
      <c r="H606" s="2" t="s">
        <v>316</v>
      </c>
      <c r="I606" s="356">
        <v>4406.164952368293</v>
      </c>
      <c r="J606" s="342">
        <v>35.9</v>
      </c>
      <c r="K606" s="357">
        <f t="shared" si="28"/>
        <v>122.73439978741763</v>
      </c>
      <c r="L606" s="476">
        <v>60</v>
      </c>
      <c r="M606" s="343">
        <f t="shared" si="29"/>
        <v>73.43608253947154</v>
      </c>
      <c r="N606" s="344">
        <f ca="1" t="shared" si="27"/>
        <v>148</v>
      </c>
      <c r="O606" s="358">
        <v>1</v>
      </c>
      <c r="P606" s="340" t="s">
        <v>389</v>
      </c>
    </row>
    <row r="607" spans="2:16" ht="39.75" customHeight="1">
      <c r="B607" s="25">
        <v>40113</v>
      </c>
      <c r="C607" s="340" t="s">
        <v>281</v>
      </c>
      <c r="D607" s="2" t="s">
        <v>1689</v>
      </c>
      <c r="E607" s="26" t="s">
        <v>391</v>
      </c>
      <c r="F607" s="2" t="s">
        <v>42</v>
      </c>
      <c r="G607" s="2" t="s">
        <v>1871</v>
      </c>
      <c r="H607" s="2" t="s">
        <v>316</v>
      </c>
      <c r="I607" s="356">
        <v>4406.164952368293</v>
      </c>
      <c r="J607" s="342">
        <v>35.9</v>
      </c>
      <c r="K607" s="357">
        <f t="shared" si="28"/>
        <v>122.73439978741763</v>
      </c>
      <c r="L607" s="476">
        <v>60</v>
      </c>
      <c r="M607" s="343">
        <f t="shared" si="29"/>
        <v>73.43608253947154</v>
      </c>
      <c r="N607" s="344">
        <f ca="1" t="shared" si="27"/>
        <v>148</v>
      </c>
      <c r="O607" s="358">
        <v>1</v>
      </c>
      <c r="P607" s="340" t="s">
        <v>389</v>
      </c>
    </row>
    <row r="608" spans="2:16" ht="39.75" customHeight="1">
      <c r="B608" s="25">
        <v>40113</v>
      </c>
      <c r="C608" s="340" t="s">
        <v>281</v>
      </c>
      <c r="D608" s="2" t="s">
        <v>1690</v>
      </c>
      <c r="E608" s="26" t="s">
        <v>121</v>
      </c>
      <c r="F608" s="2" t="s">
        <v>42</v>
      </c>
      <c r="G608" s="2" t="s">
        <v>1871</v>
      </c>
      <c r="H608" s="2" t="s">
        <v>316</v>
      </c>
      <c r="I608" s="356">
        <v>5063.987500499768</v>
      </c>
      <c r="J608" s="342">
        <v>35.9</v>
      </c>
      <c r="K608" s="357">
        <f t="shared" si="28"/>
        <v>141.0581476462331</v>
      </c>
      <c r="L608" s="476">
        <v>60</v>
      </c>
      <c r="M608" s="343">
        <f t="shared" si="29"/>
        <v>84.39979167499614</v>
      </c>
      <c r="N608" s="344">
        <f ca="1" t="shared" si="27"/>
        <v>148</v>
      </c>
      <c r="O608" s="358">
        <v>1</v>
      </c>
      <c r="P608" s="340" t="s">
        <v>389</v>
      </c>
    </row>
    <row r="609" spans="2:16" ht="39.75" customHeight="1">
      <c r="B609" s="25">
        <v>40113</v>
      </c>
      <c r="C609" s="340" t="s">
        <v>281</v>
      </c>
      <c r="D609" s="2" t="s">
        <v>1691</v>
      </c>
      <c r="E609" s="26" t="s">
        <v>414</v>
      </c>
      <c r="F609" s="2" t="s">
        <v>42</v>
      </c>
      <c r="G609" s="2" t="s">
        <v>1871</v>
      </c>
      <c r="H609" s="2" t="s">
        <v>316</v>
      </c>
      <c r="I609" s="356">
        <v>8295.6542131796</v>
      </c>
      <c r="J609" s="342">
        <v>35.9</v>
      </c>
      <c r="K609" s="357">
        <f t="shared" si="28"/>
        <v>231.0767190300724</v>
      </c>
      <c r="L609" s="476">
        <v>60</v>
      </c>
      <c r="M609" s="343">
        <f t="shared" si="29"/>
        <v>138.2609035529933</v>
      </c>
      <c r="N609" s="344">
        <f ca="1" t="shared" si="27"/>
        <v>148</v>
      </c>
      <c r="O609" s="358">
        <v>1</v>
      </c>
      <c r="P609" s="340" t="s">
        <v>389</v>
      </c>
    </row>
    <row r="610" spans="2:16" ht="39.75" customHeight="1">
      <c r="B610" s="25">
        <v>40113</v>
      </c>
      <c r="C610" s="340" t="s">
        <v>281</v>
      </c>
      <c r="D610" s="2" t="s">
        <v>1692</v>
      </c>
      <c r="E610" s="26" t="s">
        <v>528</v>
      </c>
      <c r="F610" s="2" t="s">
        <v>42</v>
      </c>
      <c r="G610" s="2" t="s">
        <v>1871</v>
      </c>
      <c r="H610" s="2" t="s">
        <v>316</v>
      </c>
      <c r="I610" s="356">
        <v>2767.970238179703</v>
      </c>
      <c r="J610" s="342">
        <v>35.9</v>
      </c>
      <c r="K610" s="357">
        <f t="shared" si="28"/>
        <v>77.10223504678838</v>
      </c>
      <c r="L610" s="476">
        <v>60</v>
      </c>
      <c r="M610" s="343">
        <f t="shared" si="29"/>
        <v>46.13283730299505</v>
      </c>
      <c r="N610" s="344">
        <f ca="1" t="shared" si="27"/>
        <v>148</v>
      </c>
      <c r="O610" s="358">
        <v>1</v>
      </c>
      <c r="P610" s="340" t="s">
        <v>389</v>
      </c>
    </row>
    <row r="611" spans="2:16" ht="39.75" customHeight="1">
      <c r="B611" s="25">
        <v>40113</v>
      </c>
      <c r="C611" s="340" t="s">
        <v>281</v>
      </c>
      <c r="D611" s="2" t="s">
        <v>1488</v>
      </c>
      <c r="E611" s="26" t="s">
        <v>179</v>
      </c>
      <c r="F611" s="2" t="s">
        <v>42</v>
      </c>
      <c r="G611" s="2" t="s">
        <v>1866</v>
      </c>
      <c r="H611" s="2" t="s">
        <v>314</v>
      </c>
      <c r="I611" s="356">
        <v>8320.767704038331</v>
      </c>
      <c r="J611" s="342">
        <v>35.9</v>
      </c>
      <c r="K611" s="357">
        <f t="shared" si="28"/>
        <v>231.77625916541314</v>
      </c>
      <c r="L611" s="476">
        <v>60</v>
      </c>
      <c r="M611" s="343">
        <f t="shared" si="29"/>
        <v>138.6794617339722</v>
      </c>
      <c r="N611" s="344">
        <f ca="1" t="shared" si="27"/>
        <v>148</v>
      </c>
      <c r="O611" s="358">
        <v>1</v>
      </c>
      <c r="P611" s="340" t="s">
        <v>513</v>
      </c>
    </row>
    <row r="612" spans="2:16" ht="39.75" customHeight="1">
      <c r="B612" s="25">
        <v>40113</v>
      </c>
      <c r="C612" s="340" t="s">
        <v>281</v>
      </c>
      <c r="D612" s="2" t="s">
        <v>1489</v>
      </c>
      <c r="E612" s="26" t="s">
        <v>120</v>
      </c>
      <c r="F612" s="2" t="s">
        <v>42</v>
      </c>
      <c r="G612" s="2" t="s">
        <v>1866</v>
      </c>
      <c r="H612" s="2" t="s">
        <v>314</v>
      </c>
      <c r="I612" s="356">
        <v>1170.1079583803903</v>
      </c>
      <c r="J612" s="342">
        <v>35.9</v>
      </c>
      <c r="K612" s="357">
        <f t="shared" si="28"/>
        <v>32.59353644513622</v>
      </c>
      <c r="L612" s="476">
        <v>60</v>
      </c>
      <c r="M612" s="343">
        <f t="shared" si="29"/>
        <v>19.501799306339837</v>
      </c>
      <c r="N612" s="344">
        <f ca="1" t="shared" si="27"/>
        <v>148</v>
      </c>
      <c r="O612" s="358">
        <v>1</v>
      </c>
      <c r="P612" s="340" t="s">
        <v>513</v>
      </c>
    </row>
    <row r="613" spans="2:16" ht="39.75" customHeight="1">
      <c r="B613" s="25">
        <v>40113</v>
      </c>
      <c r="C613" s="340" t="s">
        <v>281</v>
      </c>
      <c r="D613" s="2" t="s">
        <v>1483</v>
      </c>
      <c r="E613" s="26" t="s">
        <v>346</v>
      </c>
      <c r="F613" s="2" t="s">
        <v>42</v>
      </c>
      <c r="G613" s="2" t="s">
        <v>1866</v>
      </c>
      <c r="H613" s="2" t="s">
        <v>314</v>
      </c>
      <c r="I613" s="356">
        <v>5761.203170858432</v>
      </c>
      <c r="J613" s="342">
        <v>35.9</v>
      </c>
      <c r="K613" s="357">
        <f t="shared" si="28"/>
        <v>160.4791969598449</v>
      </c>
      <c r="L613" s="476">
        <v>60</v>
      </c>
      <c r="M613" s="343">
        <f t="shared" si="29"/>
        <v>96.02005284764053</v>
      </c>
      <c r="N613" s="344">
        <f ca="1" t="shared" si="27"/>
        <v>148</v>
      </c>
      <c r="O613" s="358">
        <v>1</v>
      </c>
      <c r="P613" s="340" t="s">
        <v>389</v>
      </c>
    </row>
    <row r="614" spans="2:16" ht="39.75" customHeight="1">
      <c r="B614" s="25">
        <v>40113</v>
      </c>
      <c r="C614" s="340" t="s">
        <v>281</v>
      </c>
      <c r="D614" s="2" t="s">
        <v>1484</v>
      </c>
      <c r="E614" s="26" t="s">
        <v>346</v>
      </c>
      <c r="F614" s="2" t="s">
        <v>42</v>
      </c>
      <c r="G614" s="2" t="s">
        <v>1866</v>
      </c>
      <c r="H614" s="2" t="s">
        <v>314</v>
      </c>
      <c r="I614" s="356">
        <v>5761.203170858432</v>
      </c>
      <c r="J614" s="342">
        <v>35.9</v>
      </c>
      <c r="K614" s="357">
        <f t="shared" si="28"/>
        <v>160.4791969598449</v>
      </c>
      <c r="L614" s="476">
        <v>60</v>
      </c>
      <c r="M614" s="343">
        <f t="shared" si="29"/>
        <v>96.02005284764053</v>
      </c>
      <c r="N614" s="344">
        <f ca="1" t="shared" si="27"/>
        <v>148</v>
      </c>
      <c r="O614" s="358">
        <v>1</v>
      </c>
      <c r="P614" s="340" t="s">
        <v>389</v>
      </c>
    </row>
    <row r="615" spans="2:16" ht="39.75" customHeight="1">
      <c r="B615" s="25">
        <v>40113</v>
      </c>
      <c r="C615" s="340" t="s">
        <v>281</v>
      </c>
      <c r="D615" s="2" t="s">
        <v>1482</v>
      </c>
      <c r="E615" s="26" t="s">
        <v>121</v>
      </c>
      <c r="F615" s="2" t="s">
        <v>42</v>
      </c>
      <c r="G615" s="2" t="s">
        <v>1866</v>
      </c>
      <c r="H615" s="2" t="s">
        <v>314</v>
      </c>
      <c r="I615" s="356">
        <v>5063.987500499768</v>
      </c>
      <c r="J615" s="342">
        <v>35.9</v>
      </c>
      <c r="K615" s="357">
        <f t="shared" si="28"/>
        <v>141.0581476462331</v>
      </c>
      <c r="L615" s="476">
        <v>60</v>
      </c>
      <c r="M615" s="343">
        <f t="shared" si="29"/>
        <v>84.39979167499614</v>
      </c>
      <c r="N615" s="344">
        <f ca="1" t="shared" si="27"/>
        <v>148</v>
      </c>
      <c r="O615" s="358">
        <v>1</v>
      </c>
      <c r="P615" s="340" t="s">
        <v>389</v>
      </c>
    </row>
    <row r="616" spans="2:16" ht="39.75" customHeight="1">
      <c r="B616" s="25">
        <v>40113</v>
      </c>
      <c r="C616" s="340" t="s">
        <v>281</v>
      </c>
      <c r="D616" s="2" t="s">
        <v>1175</v>
      </c>
      <c r="E616" s="26" t="s">
        <v>179</v>
      </c>
      <c r="F616" s="2" t="s">
        <v>42</v>
      </c>
      <c r="G616" s="2" t="s">
        <v>1824</v>
      </c>
      <c r="H616" s="2" t="s">
        <v>285</v>
      </c>
      <c r="I616" s="356">
        <v>8320.767704038331</v>
      </c>
      <c r="J616" s="342">
        <v>35.9</v>
      </c>
      <c r="K616" s="357">
        <f t="shared" si="28"/>
        <v>231.77625916541314</v>
      </c>
      <c r="L616" s="476">
        <v>60</v>
      </c>
      <c r="M616" s="343">
        <f t="shared" si="29"/>
        <v>138.6794617339722</v>
      </c>
      <c r="N616" s="344">
        <f ca="1" t="shared" si="27"/>
        <v>148</v>
      </c>
      <c r="O616" s="358">
        <v>1</v>
      </c>
      <c r="P616" s="340" t="s">
        <v>513</v>
      </c>
    </row>
    <row r="617" spans="2:16" ht="39.75" customHeight="1">
      <c r="B617" s="25">
        <v>40113</v>
      </c>
      <c r="C617" s="340" t="s">
        <v>281</v>
      </c>
      <c r="D617" s="2" t="s">
        <v>1176</v>
      </c>
      <c r="E617" s="26" t="s">
        <v>179</v>
      </c>
      <c r="F617" s="2" t="s">
        <v>42</v>
      </c>
      <c r="G617" s="2" t="s">
        <v>1824</v>
      </c>
      <c r="H617" s="2" t="s">
        <v>285</v>
      </c>
      <c r="I617" s="356">
        <v>8320.767704038331</v>
      </c>
      <c r="J617" s="342">
        <v>35.9</v>
      </c>
      <c r="K617" s="357">
        <f t="shared" si="28"/>
        <v>231.77625916541314</v>
      </c>
      <c r="L617" s="476">
        <v>60</v>
      </c>
      <c r="M617" s="343">
        <f t="shared" si="29"/>
        <v>138.6794617339722</v>
      </c>
      <c r="N617" s="344">
        <f ca="1" t="shared" si="27"/>
        <v>148</v>
      </c>
      <c r="O617" s="358">
        <v>1</v>
      </c>
      <c r="P617" s="340" t="s">
        <v>513</v>
      </c>
    </row>
    <row r="618" spans="2:16" ht="39.75" customHeight="1">
      <c r="B618" s="25">
        <v>40113</v>
      </c>
      <c r="C618" s="340" t="s">
        <v>281</v>
      </c>
      <c r="D618" s="2" t="s">
        <v>1177</v>
      </c>
      <c r="E618" s="26" t="s">
        <v>120</v>
      </c>
      <c r="F618" s="2" t="s">
        <v>42</v>
      </c>
      <c r="G618" s="2" t="s">
        <v>1824</v>
      </c>
      <c r="H618" s="2" t="s">
        <v>285</v>
      </c>
      <c r="I618" s="356">
        <v>1170.1079583803903</v>
      </c>
      <c r="J618" s="342">
        <v>35.9</v>
      </c>
      <c r="K618" s="357">
        <f t="shared" si="28"/>
        <v>32.59353644513622</v>
      </c>
      <c r="L618" s="476">
        <v>60</v>
      </c>
      <c r="M618" s="343">
        <f t="shared" si="29"/>
        <v>19.501799306339837</v>
      </c>
      <c r="N618" s="344">
        <f ca="1" t="shared" si="27"/>
        <v>148</v>
      </c>
      <c r="O618" s="358">
        <v>1</v>
      </c>
      <c r="P618" s="340" t="s">
        <v>513</v>
      </c>
    </row>
    <row r="619" spans="2:16" ht="39.75" customHeight="1">
      <c r="B619" s="25">
        <v>40113</v>
      </c>
      <c r="C619" s="340" t="s">
        <v>281</v>
      </c>
      <c r="D619" s="2" t="s">
        <v>1178</v>
      </c>
      <c r="E619" s="26" t="s">
        <v>120</v>
      </c>
      <c r="F619" s="2" t="s">
        <v>42</v>
      </c>
      <c r="G619" s="2" t="s">
        <v>1824</v>
      </c>
      <c r="H619" s="2" t="s">
        <v>285</v>
      </c>
      <c r="I619" s="356">
        <v>1170.1079583803903</v>
      </c>
      <c r="J619" s="342">
        <v>35.9</v>
      </c>
      <c r="K619" s="357">
        <f t="shared" si="28"/>
        <v>32.59353644513622</v>
      </c>
      <c r="L619" s="476">
        <v>60</v>
      </c>
      <c r="M619" s="343">
        <f t="shared" si="29"/>
        <v>19.501799306339837</v>
      </c>
      <c r="N619" s="344">
        <f ca="1" t="shared" si="27"/>
        <v>148</v>
      </c>
      <c r="O619" s="358">
        <v>1</v>
      </c>
      <c r="P619" s="340" t="s">
        <v>513</v>
      </c>
    </row>
    <row r="620" spans="2:16" ht="39.75" customHeight="1">
      <c r="B620" s="25">
        <v>40113</v>
      </c>
      <c r="C620" s="340" t="s">
        <v>281</v>
      </c>
      <c r="D620" s="2" t="s">
        <v>1179</v>
      </c>
      <c r="E620" s="26" t="s">
        <v>120</v>
      </c>
      <c r="F620" s="2" t="s">
        <v>42</v>
      </c>
      <c r="G620" s="2" t="s">
        <v>1824</v>
      </c>
      <c r="H620" s="2" t="s">
        <v>285</v>
      </c>
      <c r="I620" s="356">
        <v>1170.1079583803903</v>
      </c>
      <c r="J620" s="342">
        <v>35.9</v>
      </c>
      <c r="K620" s="357">
        <f t="shared" si="28"/>
        <v>32.59353644513622</v>
      </c>
      <c r="L620" s="476">
        <v>60</v>
      </c>
      <c r="M620" s="343">
        <f t="shared" si="29"/>
        <v>19.501799306339837</v>
      </c>
      <c r="N620" s="344">
        <f ca="1" t="shared" si="27"/>
        <v>148</v>
      </c>
      <c r="O620" s="358">
        <v>1</v>
      </c>
      <c r="P620" s="340" t="s">
        <v>513</v>
      </c>
    </row>
    <row r="621" spans="2:16" ht="39.75" customHeight="1">
      <c r="B621" s="25">
        <v>40113</v>
      </c>
      <c r="C621" s="340" t="s">
        <v>281</v>
      </c>
      <c r="D621" s="2" t="s">
        <v>1192</v>
      </c>
      <c r="E621" s="26" t="s">
        <v>346</v>
      </c>
      <c r="F621" s="2" t="s">
        <v>42</v>
      </c>
      <c r="G621" s="2" t="s">
        <v>1824</v>
      </c>
      <c r="H621" s="2" t="s">
        <v>285</v>
      </c>
      <c r="I621" s="356">
        <v>5761.203170858432</v>
      </c>
      <c r="J621" s="342">
        <v>35.9</v>
      </c>
      <c r="K621" s="357">
        <f t="shared" si="28"/>
        <v>160.4791969598449</v>
      </c>
      <c r="L621" s="476">
        <v>60</v>
      </c>
      <c r="M621" s="343">
        <f t="shared" si="29"/>
        <v>96.02005284764053</v>
      </c>
      <c r="N621" s="344">
        <f ca="1" t="shared" si="27"/>
        <v>148</v>
      </c>
      <c r="O621" s="358">
        <v>1</v>
      </c>
      <c r="P621" s="340" t="s">
        <v>389</v>
      </c>
    </row>
    <row r="622" spans="2:16" ht="39.75" customHeight="1">
      <c r="B622" s="25">
        <v>40113</v>
      </c>
      <c r="C622" s="340" t="s">
        <v>281</v>
      </c>
      <c r="D622" s="2" t="s">
        <v>1193</v>
      </c>
      <c r="E622" s="26" t="s">
        <v>346</v>
      </c>
      <c r="F622" s="2" t="s">
        <v>42</v>
      </c>
      <c r="G622" s="2" t="s">
        <v>1824</v>
      </c>
      <c r="H622" s="2" t="s">
        <v>285</v>
      </c>
      <c r="I622" s="356">
        <v>5761.203170858432</v>
      </c>
      <c r="J622" s="342">
        <v>35.9</v>
      </c>
      <c r="K622" s="357">
        <f t="shared" si="28"/>
        <v>160.4791969598449</v>
      </c>
      <c r="L622" s="476">
        <v>60</v>
      </c>
      <c r="M622" s="343">
        <f t="shared" si="29"/>
        <v>96.02005284764053</v>
      </c>
      <c r="N622" s="344">
        <f ca="1" t="shared" si="27"/>
        <v>148</v>
      </c>
      <c r="O622" s="358">
        <v>1</v>
      </c>
      <c r="P622" s="340" t="s">
        <v>389</v>
      </c>
    </row>
    <row r="623" spans="2:16" ht="39.75" customHeight="1">
      <c r="B623" s="25">
        <v>40113</v>
      </c>
      <c r="C623" s="340" t="s">
        <v>281</v>
      </c>
      <c r="D623" s="2" t="s">
        <v>1194</v>
      </c>
      <c r="E623" s="26" t="s">
        <v>346</v>
      </c>
      <c r="F623" s="2" t="s">
        <v>42</v>
      </c>
      <c r="G623" s="2" t="s">
        <v>1824</v>
      </c>
      <c r="H623" s="2" t="s">
        <v>285</v>
      </c>
      <c r="I623" s="356">
        <v>5761.203170858432</v>
      </c>
      <c r="J623" s="342">
        <v>35.9</v>
      </c>
      <c r="K623" s="357">
        <f t="shared" si="28"/>
        <v>160.4791969598449</v>
      </c>
      <c r="L623" s="476">
        <v>60</v>
      </c>
      <c r="M623" s="343">
        <f t="shared" si="29"/>
        <v>96.02005284764053</v>
      </c>
      <c r="N623" s="344">
        <f ca="1" t="shared" si="27"/>
        <v>148</v>
      </c>
      <c r="O623" s="358">
        <v>1</v>
      </c>
      <c r="P623" s="340" t="s">
        <v>389</v>
      </c>
    </row>
    <row r="624" spans="2:16" ht="39.75" customHeight="1">
      <c r="B624" s="25">
        <v>40113</v>
      </c>
      <c r="C624" s="340" t="s">
        <v>281</v>
      </c>
      <c r="D624" s="2" t="s">
        <v>1195</v>
      </c>
      <c r="E624" s="26" t="s">
        <v>390</v>
      </c>
      <c r="F624" s="2" t="s">
        <v>42</v>
      </c>
      <c r="G624" s="2" t="s">
        <v>1824</v>
      </c>
      <c r="H624" s="2" t="s">
        <v>285</v>
      </c>
      <c r="I624" s="356">
        <v>15906.870674771206</v>
      </c>
      <c r="J624" s="342">
        <v>35.9</v>
      </c>
      <c r="K624" s="357">
        <f t="shared" si="28"/>
        <v>443.08831963150993</v>
      </c>
      <c r="L624" s="476">
        <v>60</v>
      </c>
      <c r="M624" s="343">
        <f t="shared" si="29"/>
        <v>265.11451124618674</v>
      </c>
      <c r="N624" s="344">
        <f ca="1" t="shared" si="27"/>
        <v>148</v>
      </c>
      <c r="O624" s="358">
        <v>1</v>
      </c>
      <c r="P624" s="340" t="s">
        <v>389</v>
      </c>
    </row>
    <row r="625" spans="2:16" ht="39.75" customHeight="1">
      <c r="B625" s="25">
        <v>40113</v>
      </c>
      <c r="C625" s="340" t="s">
        <v>281</v>
      </c>
      <c r="D625" s="2" t="s">
        <v>1196</v>
      </c>
      <c r="E625" s="26" t="s">
        <v>390</v>
      </c>
      <c r="F625" s="2" t="s">
        <v>42</v>
      </c>
      <c r="G625" s="2" t="s">
        <v>1824</v>
      </c>
      <c r="H625" s="2" t="s">
        <v>285</v>
      </c>
      <c r="I625" s="356">
        <v>15906.870674771206</v>
      </c>
      <c r="J625" s="342">
        <v>35.9</v>
      </c>
      <c r="K625" s="357">
        <f t="shared" si="28"/>
        <v>443.08831963150993</v>
      </c>
      <c r="L625" s="476">
        <v>60</v>
      </c>
      <c r="M625" s="343">
        <f t="shared" si="29"/>
        <v>265.11451124618674</v>
      </c>
      <c r="N625" s="344">
        <f ca="1" t="shared" si="27"/>
        <v>148</v>
      </c>
      <c r="O625" s="358">
        <v>1</v>
      </c>
      <c r="P625" s="340" t="s">
        <v>389</v>
      </c>
    </row>
    <row r="626" spans="2:16" ht="39.75" customHeight="1">
      <c r="B626" s="25">
        <v>40113</v>
      </c>
      <c r="C626" s="340" t="s">
        <v>281</v>
      </c>
      <c r="D626" s="2" t="s">
        <v>1197</v>
      </c>
      <c r="E626" s="26" t="s">
        <v>10</v>
      </c>
      <c r="F626" s="2" t="s">
        <v>42</v>
      </c>
      <c r="G626" s="2" t="s">
        <v>1824</v>
      </c>
      <c r="H626" s="2" t="s">
        <v>285</v>
      </c>
      <c r="I626" s="356">
        <v>7990.458537926264</v>
      </c>
      <c r="J626" s="342">
        <v>35.9</v>
      </c>
      <c r="K626" s="357">
        <f t="shared" si="28"/>
        <v>222.57544673889316</v>
      </c>
      <c r="L626" s="476">
        <v>60</v>
      </c>
      <c r="M626" s="343">
        <f t="shared" si="29"/>
        <v>133.17430896543775</v>
      </c>
      <c r="N626" s="344">
        <f ca="1" t="shared" si="27"/>
        <v>148</v>
      </c>
      <c r="O626" s="358">
        <v>1</v>
      </c>
      <c r="P626" s="340" t="s">
        <v>389</v>
      </c>
    </row>
    <row r="627" spans="2:16" ht="39.75" customHeight="1">
      <c r="B627" s="25">
        <v>40113</v>
      </c>
      <c r="C627" s="340" t="s">
        <v>281</v>
      </c>
      <c r="D627" s="2" t="s">
        <v>1198</v>
      </c>
      <c r="E627" s="26" t="s">
        <v>121</v>
      </c>
      <c r="F627" s="2" t="s">
        <v>42</v>
      </c>
      <c r="G627" s="2" t="s">
        <v>1824</v>
      </c>
      <c r="H627" s="2" t="s">
        <v>285</v>
      </c>
      <c r="I627" s="356">
        <v>5063.987500499768</v>
      </c>
      <c r="J627" s="342">
        <v>35.9</v>
      </c>
      <c r="K627" s="357">
        <f t="shared" si="28"/>
        <v>141.0581476462331</v>
      </c>
      <c r="L627" s="476">
        <v>60</v>
      </c>
      <c r="M627" s="343">
        <f t="shared" si="29"/>
        <v>84.39979167499614</v>
      </c>
      <c r="N627" s="344">
        <f ca="1" t="shared" si="27"/>
        <v>148</v>
      </c>
      <c r="O627" s="358">
        <v>1</v>
      </c>
      <c r="P627" s="340" t="s">
        <v>389</v>
      </c>
    </row>
    <row r="628" spans="2:16" ht="39.75" customHeight="1">
      <c r="B628" s="25">
        <v>40113</v>
      </c>
      <c r="C628" s="340" t="s">
        <v>281</v>
      </c>
      <c r="D628" s="2" t="s">
        <v>1199</v>
      </c>
      <c r="E628" s="26" t="s">
        <v>121</v>
      </c>
      <c r="F628" s="2" t="s">
        <v>42</v>
      </c>
      <c r="G628" s="2" t="s">
        <v>1824</v>
      </c>
      <c r="H628" s="2" t="s">
        <v>285</v>
      </c>
      <c r="I628" s="356">
        <v>5063.987500499768</v>
      </c>
      <c r="J628" s="342">
        <v>35.9</v>
      </c>
      <c r="K628" s="357">
        <f t="shared" si="28"/>
        <v>141.0581476462331</v>
      </c>
      <c r="L628" s="476">
        <v>60</v>
      </c>
      <c r="M628" s="343">
        <f t="shared" si="29"/>
        <v>84.39979167499614</v>
      </c>
      <c r="N628" s="344">
        <f ca="1" t="shared" si="27"/>
        <v>148</v>
      </c>
      <c r="O628" s="358">
        <v>1</v>
      </c>
      <c r="P628" s="340" t="s">
        <v>389</v>
      </c>
    </row>
    <row r="629" spans="2:16" ht="39.75" customHeight="1">
      <c r="B629" s="25">
        <v>40113</v>
      </c>
      <c r="C629" s="340" t="s">
        <v>281</v>
      </c>
      <c r="D629" s="2" t="s">
        <v>1200</v>
      </c>
      <c r="E629" s="26" t="s">
        <v>288</v>
      </c>
      <c r="F629" s="2" t="s">
        <v>42</v>
      </c>
      <c r="G629" s="2" t="s">
        <v>1824</v>
      </c>
      <c r="H629" s="2" t="s">
        <v>285</v>
      </c>
      <c r="I629" s="356">
        <v>8295.6542131796</v>
      </c>
      <c r="J629" s="342">
        <v>35.9</v>
      </c>
      <c r="K629" s="357">
        <f t="shared" si="28"/>
        <v>231.0767190300724</v>
      </c>
      <c r="L629" s="476">
        <v>60</v>
      </c>
      <c r="M629" s="343">
        <f t="shared" si="29"/>
        <v>138.2609035529933</v>
      </c>
      <c r="N629" s="344">
        <f ca="1" t="shared" si="27"/>
        <v>148</v>
      </c>
      <c r="O629" s="358">
        <v>1</v>
      </c>
      <c r="P629" s="340" t="s">
        <v>389</v>
      </c>
    </row>
    <row r="630" spans="2:16" ht="39.75" customHeight="1">
      <c r="B630" s="25">
        <v>40113</v>
      </c>
      <c r="C630" s="340" t="s">
        <v>281</v>
      </c>
      <c r="D630" s="2" t="s">
        <v>1090</v>
      </c>
      <c r="E630" s="26" t="s">
        <v>346</v>
      </c>
      <c r="F630" s="2" t="s">
        <v>42</v>
      </c>
      <c r="G630" s="2" t="s">
        <v>821</v>
      </c>
      <c r="H630" s="2" t="s">
        <v>530</v>
      </c>
      <c r="I630" s="356">
        <v>5761.203170858432</v>
      </c>
      <c r="J630" s="342">
        <v>35.9</v>
      </c>
      <c r="K630" s="357">
        <f t="shared" si="28"/>
        <v>160.4791969598449</v>
      </c>
      <c r="L630" s="476">
        <v>60</v>
      </c>
      <c r="M630" s="343">
        <f t="shared" si="29"/>
        <v>96.02005284764053</v>
      </c>
      <c r="N630" s="344">
        <f ca="1" t="shared" si="27"/>
        <v>148</v>
      </c>
      <c r="O630" s="358">
        <v>1</v>
      </c>
      <c r="P630" s="340" t="s">
        <v>389</v>
      </c>
    </row>
    <row r="631" spans="2:16" ht="39.75" customHeight="1">
      <c r="B631" s="25">
        <v>40113</v>
      </c>
      <c r="C631" s="340" t="s">
        <v>281</v>
      </c>
      <c r="D631" s="2" t="s">
        <v>1089</v>
      </c>
      <c r="E631" s="26" t="s">
        <v>282</v>
      </c>
      <c r="F631" s="2" t="s">
        <v>42</v>
      </c>
      <c r="G631" s="2" t="s">
        <v>821</v>
      </c>
      <c r="H631" s="2" t="s">
        <v>530</v>
      </c>
      <c r="I631" s="356">
        <v>6264.6750130190585</v>
      </c>
      <c r="J631" s="342">
        <v>35.9</v>
      </c>
      <c r="K631" s="357">
        <f t="shared" si="28"/>
        <v>174.5034822567983</v>
      </c>
      <c r="L631" s="476">
        <v>60</v>
      </c>
      <c r="M631" s="343">
        <f t="shared" si="29"/>
        <v>104.41125021698431</v>
      </c>
      <c r="N631" s="344">
        <f ca="1" t="shared" si="27"/>
        <v>148</v>
      </c>
      <c r="O631" s="358">
        <v>1</v>
      </c>
      <c r="P631" s="340" t="s">
        <v>389</v>
      </c>
    </row>
    <row r="632" spans="2:16" ht="39.75" customHeight="1">
      <c r="B632" s="25">
        <v>40113</v>
      </c>
      <c r="C632" s="340" t="s">
        <v>281</v>
      </c>
      <c r="D632" s="2" t="s">
        <v>1086</v>
      </c>
      <c r="E632" s="26" t="s">
        <v>121</v>
      </c>
      <c r="F632" s="2" t="s">
        <v>42</v>
      </c>
      <c r="G632" s="2" t="s">
        <v>821</v>
      </c>
      <c r="H632" s="2" t="s">
        <v>530</v>
      </c>
      <c r="I632" s="356">
        <v>5063.987500499768</v>
      </c>
      <c r="J632" s="342">
        <v>35.9</v>
      </c>
      <c r="K632" s="357">
        <f t="shared" si="28"/>
        <v>141.0581476462331</v>
      </c>
      <c r="L632" s="476">
        <v>60</v>
      </c>
      <c r="M632" s="343">
        <f t="shared" si="29"/>
        <v>84.39979167499614</v>
      </c>
      <c r="N632" s="344">
        <f ca="1" t="shared" si="27"/>
        <v>148</v>
      </c>
      <c r="O632" s="358">
        <v>1</v>
      </c>
      <c r="P632" s="340" t="s">
        <v>389</v>
      </c>
    </row>
    <row r="633" spans="2:16" ht="39.75" customHeight="1">
      <c r="B633" s="25">
        <v>40113</v>
      </c>
      <c r="C633" s="340" t="s">
        <v>281</v>
      </c>
      <c r="D633" s="2" t="s">
        <v>1113</v>
      </c>
      <c r="E633" s="26" t="s">
        <v>179</v>
      </c>
      <c r="F633" s="2" t="s">
        <v>42</v>
      </c>
      <c r="G633" s="2" t="s">
        <v>1824</v>
      </c>
      <c r="H633" s="2" t="s">
        <v>317</v>
      </c>
      <c r="I633" s="201">
        <v>8320.767704038331</v>
      </c>
      <c r="J633" s="342">
        <v>35.9</v>
      </c>
      <c r="K633" s="357">
        <f t="shared" si="28"/>
        <v>231.77625916541314</v>
      </c>
      <c r="L633" s="477">
        <v>60</v>
      </c>
      <c r="M633" s="343">
        <f t="shared" si="29"/>
        <v>138.6794617339722</v>
      </c>
      <c r="N633" s="344">
        <f ca="1" t="shared" si="27"/>
        <v>148</v>
      </c>
      <c r="O633" s="33">
        <v>1</v>
      </c>
      <c r="P633" s="340" t="s">
        <v>513</v>
      </c>
    </row>
    <row r="634" spans="2:16" ht="39.75" customHeight="1">
      <c r="B634" s="25">
        <v>40113</v>
      </c>
      <c r="C634" s="340" t="s">
        <v>281</v>
      </c>
      <c r="D634" s="2" t="s">
        <v>1114</v>
      </c>
      <c r="E634" s="26" t="s">
        <v>179</v>
      </c>
      <c r="F634" s="2" t="s">
        <v>42</v>
      </c>
      <c r="G634" s="2" t="s">
        <v>1824</v>
      </c>
      <c r="H634" s="2" t="s">
        <v>317</v>
      </c>
      <c r="I634" s="201">
        <v>8320.767704038331</v>
      </c>
      <c r="J634" s="342">
        <v>35.9</v>
      </c>
      <c r="K634" s="357">
        <f t="shared" si="28"/>
        <v>231.77625916541314</v>
      </c>
      <c r="L634" s="477">
        <v>60</v>
      </c>
      <c r="M634" s="343">
        <f t="shared" si="29"/>
        <v>138.6794617339722</v>
      </c>
      <c r="N634" s="344">
        <f ca="1" t="shared" si="27"/>
        <v>148</v>
      </c>
      <c r="O634" s="33">
        <v>1</v>
      </c>
      <c r="P634" s="340" t="s">
        <v>513</v>
      </c>
    </row>
    <row r="635" spans="2:16" ht="39.75" customHeight="1">
      <c r="B635" s="25">
        <v>40113</v>
      </c>
      <c r="C635" s="340" t="s">
        <v>281</v>
      </c>
      <c r="D635" s="2" t="s">
        <v>1115</v>
      </c>
      <c r="E635" s="26" t="s">
        <v>120</v>
      </c>
      <c r="F635" s="2" t="s">
        <v>42</v>
      </c>
      <c r="G635" s="2" t="s">
        <v>1824</v>
      </c>
      <c r="H635" s="2" t="s">
        <v>317</v>
      </c>
      <c r="I635" s="201">
        <v>1170.1079583803903</v>
      </c>
      <c r="J635" s="342">
        <v>35.9</v>
      </c>
      <c r="K635" s="357">
        <f t="shared" si="28"/>
        <v>32.59353644513622</v>
      </c>
      <c r="L635" s="477">
        <v>60</v>
      </c>
      <c r="M635" s="343">
        <f t="shared" si="29"/>
        <v>19.501799306339837</v>
      </c>
      <c r="N635" s="344">
        <f ca="1" t="shared" si="27"/>
        <v>148</v>
      </c>
      <c r="O635" s="33">
        <v>1</v>
      </c>
      <c r="P635" s="340" t="s">
        <v>513</v>
      </c>
    </row>
    <row r="636" spans="2:16" ht="39.75" customHeight="1">
      <c r="B636" s="25">
        <v>40113</v>
      </c>
      <c r="C636" s="340" t="s">
        <v>281</v>
      </c>
      <c r="D636" s="2" t="s">
        <v>1116</v>
      </c>
      <c r="E636" s="26" t="s">
        <v>120</v>
      </c>
      <c r="F636" s="2" t="s">
        <v>42</v>
      </c>
      <c r="G636" s="2" t="s">
        <v>1824</v>
      </c>
      <c r="H636" s="2" t="s">
        <v>317</v>
      </c>
      <c r="I636" s="201">
        <v>1170.1079583803903</v>
      </c>
      <c r="J636" s="342">
        <v>35.9</v>
      </c>
      <c r="K636" s="357">
        <f t="shared" si="28"/>
        <v>32.59353644513622</v>
      </c>
      <c r="L636" s="477">
        <v>60</v>
      </c>
      <c r="M636" s="343">
        <f t="shared" si="29"/>
        <v>19.501799306339837</v>
      </c>
      <c r="N636" s="344">
        <f ca="1" t="shared" si="27"/>
        <v>148</v>
      </c>
      <c r="O636" s="33">
        <v>1</v>
      </c>
      <c r="P636" s="340" t="s">
        <v>513</v>
      </c>
    </row>
    <row r="637" spans="2:16" ht="39.75" customHeight="1">
      <c r="B637" s="25">
        <v>40113</v>
      </c>
      <c r="C637" s="340" t="s">
        <v>281</v>
      </c>
      <c r="D637" s="2" t="s">
        <v>1125</v>
      </c>
      <c r="E637" s="26" t="s">
        <v>346</v>
      </c>
      <c r="F637" s="2" t="s">
        <v>42</v>
      </c>
      <c r="G637" s="2" t="s">
        <v>1824</v>
      </c>
      <c r="H637" s="2" t="s">
        <v>317</v>
      </c>
      <c r="I637" s="201">
        <v>5761.203170858432</v>
      </c>
      <c r="J637" s="342">
        <v>35.9</v>
      </c>
      <c r="K637" s="357">
        <f t="shared" si="28"/>
        <v>160.4791969598449</v>
      </c>
      <c r="L637" s="477">
        <v>60</v>
      </c>
      <c r="M637" s="343">
        <f t="shared" si="29"/>
        <v>96.02005284764053</v>
      </c>
      <c r="N637" s="344">
        <f ca="1" t="shared" si="27"/>
        <v>148</v>
      </c>
      <c r="O637" s="33">
        <v>1</v>
      </c>
      <c r="P637" s="340" t="s">
        <v>389</v>
      </c>
    </row>
    <row r="638" spans="2:16" ht="39.75" customHeight="1">
      <c r="B638" s="25">
        <v>40113</v>
      </c>
      <c r="C638" s="340" t="s">
        <v>281</v>
      </c>
      <c r="D638" s="2" t="s">
        <v>1126</v>
      </c>
      <c r="E638" s="26" t="s">
        <v>346</v>
      </c>
      <c r="F638" s="2" t="s">
        <v>42</v>
      </c>
      <c r="G638" s="2" t="s">
        <v>1824</v>
      </c>
      <c r="H638" s="2" t="s">
        <v>317</v>
      </c>
      <c r="I638" s="201">
        <v>5761.203170858432</v>
      </c>
      <c r="J638" s="342">
        <v>35.9</v>
      </c>
      <c r="K638" s="357">
        <f t="shared" si="28"/>
        <v>160.4791969598449</v>
      </c>
      <c r="L638" s="477">
        <v>60</v>
      </c>
      <c r="M638" s="343">
        <f t="shared" si="29"/>
        <v>96.02005284764053</v>
      </c>
      <c r="N638" s="344">
        <f ca="1" t="shared" si="27"/>
        <v>148</v>
      </c>
      <c r="O638" s="33">
        <v>1</v>
      </c>
      <c r="P638" s="340" t="s">
        <v>389</v>
      </c>
    </row>
    <row r="639" spans="2:16" ht="39.75" customHeight="1">
      <c r="B639" s="25">
        <v>40113</v>
      </c>
      <c r="C639" s="340" t="s">
        <v>281</v>
      </c>
      <c r="D639" s="2" t="s">
        <v>1127</v>
      </c>
      <c r="E639" s="26" t="s">
        <v>346</v>
      </c>
      <c r="F639" s="2" t="s">
        <v>42</v>
      </c>
      <c r="G639" s="2" t="s">
        <v>1824</v>
      </c>
      <c r="H639" s="2" t="s">
        <v>317</v>
      </c>
      <c r="I639" s="201">
        <v>5761.203170858432</v>
      </c>
      <c r="J639" s="342">
        <v>35.9</v>
      </c>
      <c r="K639" s="357">
        <f t="shared" si="28"/>
        <v>160.4791969598449</v>
      </c>
      <c r="L639" s="477">
        <v>60</v>
      </c>
      <c r="M639" s="343">
        <f t="shared" si="29"/>
        <v>96.02005284764053</v>
      </c>
      <c r="N639" s="344">
        <f ca="1" t="shared" si="27"/>
        <v>148</v>
      </c>
      <c r="O639" s="33">
        <v>1</v>
      </c>
      <c r="P639" s="340" t="s">
        <v>389</v>
      </c>
    </row>
    <row r="640" spans="2:16" ht="39.75" customHeight="1">
      <c r="B640" s="25">
        <v>40113</v>
      </c>
      <c r="C640" s="340" t="s">
        <v>281</v>
      </c>
      <c r="D640" s="2" t="s">
        <v>1128</v>
      </c>
      <c r="E640" s="26" t="s">
        <v>391</v>
      </c>
      <c r="F640" s="2" t="s">
        <v>42</v>
      </c>
      <c r="G640" s="2" t="s">
        <v>1824</v>
      </c>
      <c r="H640" s="2" t="s">
        <v>317</v>
      </c>
      <c r="I640" s="201">
        <v>4406.164952368293</v>
      </c>
      <c r="J640" s="342">
        <v>35.9</v>
      </c>
      <c r="K640" s="357">
        <f t="shared" si="28"/>
        <v>122.73439978741763</v>
      </c>
      <c r="L640" s="477">
        <v>60</v>
      </c>
      <c r="M640" s="343">
        <f t="shared" si="29"/>
        <v>73.43608253947154</v>
      </c>
      <c r="N640" s="344">
        <f ca="1" t="shared" si="27"/>
        <v>148</v>
      </c>
      <c r="O640" s="33">
        <v>1</v>
      </c>
      <c r="P640" s="340" t="s">
        <v>389</v>
      </c>
    </row>
    <row r="641" spans="2:16" ht="39.75" customHeight="1">
      <c r="B641" s="25">
        <v>40113</v>
      </c>
      <c r="C641" s="340" t="s">
        <v>281</v>
      </c>
      <c r="D641" s="2" t="s">
        <v>1129</v>
      </c>
      <c r="E641" s="26" t="s">
        <v>391</v>
      </c>
      <c r="F641" s="2" t="s">
        <v>42</v>
      </c>
      <c r="G641" s="2" t="s">
        <v>1824</v>
      </c>
      <c r="H641" s="2" t="s">
        <v>317</v>
      </c>
      <c r="I641" s="201">
        <v>4406.164952368293</v>
      </c>
      <c r="J641" s="342">
        <v>35.9</v>
      </c>
      <c r="K641" s="357">
        <f t="shared" si="28"/>
        <v>122.73439978741763</v>
      </c>
      <c r="L641" s="477">
        <v>60</v>
      </c>
      <c r="M641" s="343">
        <f t="shared" si="29"/>
        <v>73.43608253947154</v>
      </c>
      <c r="N641" s="344">
        <f ca="1" t="shared" si="27"/>
        <v>148</v>
      </c>
      <c r="O641" s="33">
        <v>1</v>
      </c>
      <c r="P641" s="340" t="s">
        <v>389</v>
      </c>
    </row>
    <row r="642" spans="2:16" ht="39.75" customHeight="1">
      <c r="B642" s="25">
        <v>40113</v>
      </c>
      <c r="C642" s="340" t="s">
        <v>281</v>
      </c>
      <c r="D642" s="2" t="s">
        <v>1130</v>
      </c>
      <c r="E642" s="26" t="s">
        <v>282</v>
      </c>
      <c r="F642" s="2" t="s">
        <v>42</v>
      </c>
      <c r="G642" s="2" t="s">
        <v>1824</v>
      </c>
      <c r="H642" s="2" t="s">
        <v>317</v>
      </c>
      <c r="I642" s="201">
        <v>6264.6750130190585</v>
      </c>
      <c r="J642" s="342">
        <v>35.9</v>
      </c>
      <c r="K642" s="357">
        <f t="shared" si="28"/>
        <v>174.5034822567983</v>
      </c>
      <c r="L642" s="477">
        <v>60</v>
      </c>
      <c r="M642" s="343">
        <f t="shared" si="29"/>
        <v>104.41125021698431</v>
      </c>
      <c r="N642" s="344">
        <f ca="1" t="shared" si="27"/>
        <v>148</v>
      </c>
      <c r="O642" s="33">
        <v>1</v>
      </c>
      <c r="P642" s="340" t="s">
        <v>389</v>
      </c>
    </row>
    <row r="643" spans="2:16" ht="39.75" customHeight="1">
      <c r="B643" s="25">
        <v>40113</v>
      </c>
      <c r="C643" s="340" t="s">
        <v>281</v>
      </c>
      <c r="D643" s="2" t="s">
        <v>1131</v>
      </c>
      <c r="E643" s="26" t="s">
        <v>390</v>
      </c>
      <c r="F643" s="2" t="s">
        <v>42</v>
      </c>
      <c r="G643" s="2" t="s">
        <v>1824</v>
      </c>
      <c r="H643" s="2" t="s">
        <v>317</v>
      </c>
      <c r="I643" s="201">
        <v>15906.870674771206</v>
      </c>
      <c r="J643" s="342">
        <v>35.9</v>
      </c>
      <c r="K643" s="357">
        <f t="shared" si="28"/>
        <v>443.08831963150993</v>
      </c>
      <c r="L643" s="477">
        <v>60</v>
      </c>
      <c r="M643" s="343">
        <f t="shared" si="29"/>
        <v>265.11451124618674</v>
      </c>
      <c r="N643" s="344">
        <f ca="1" t="shared" si="27"/>
        <v>148</v>
      </c>
      <c r="O643" s="33">
        <v>1</v>
      </c>
      <c r="P643" s="340" t="s">
        <v>389</v>
      </c>
    </row>
    <row r="644" spans="2:16" ht="39.75" customHeight="1">
      <c r="B644" s="25">
        <v>40113</v>
      </c>
      <c r="C644" s="340" t="s">
        <v>281</v>
      </c>
      <c r="D644" s="2" t="s">
        <v>1134</v>
      </c>
      <c r="E644" s="26" t="s">
        <v>283</v>
      </c>
      <c r="F644" s="2" t="s">
        <v>284</v>
      </c>
      <c r="G644" s="2" t="s">
        <v>1824</v>
      </c>
      <c r="H644" s="2" t="s">
        <v>317</v>
      </c>
      <c r="I644" s="201">
        <v>8087.67993356431</v>
      </c>
      <c r="J644" s="342">
        <v>35.9</v>
      </c>
      <c r="K644" s="357">
        <f t="shared" si="28"/>
        <v>225.2835636090337</v>
      </c>
      <c r="L644" s="477">
        <v>60</v>
      </c>
      <c r="M644" s="343">
        <f t="shared" si="29"/>
        <v>134.79466555940516</v>
      </c>
      <c r="N644" s="344">
        <f ca="1" t="shared" si="27"/>
        <v>148</v>
      </c>
      <c r="O644" s="33">
        <v>1</v>
      </c>
      <c r="P644" s="340" t="s">
        <v>389</v>
      </c>
    </row>
    <row r="645" spans="2:16" ht="39.75" customHeight="1">
      <c r="B645" s="25">
        <v>40113</v>
      </c>
      <c r="C645" s="340" t="s">
        <v>280</v>
      </c>
      <c r="D645" s="2" t="s">
        <v>1490</v>
      </c>
      <c r="E645" s="26" t="s">
        <v>522</v>
      </c>
      <c r="F645" s="2" t="s">
        <v>42</v>
      </c>
      <c r="G645" s="2" t="s">
        <v>3271</v>
      </c>
      <c r="H645" s="2" t="s">
        <v>3272</v>
      </c>
      <c r="I645" s="201">
        <v>27359.72430684104</v>
      </c>
      <c r="J645" s="342">
        <v>35.9</v>
      </c>
      <c r="K645" s="357">
        <f t="shared" si="28"/>
        <v>762.1093121682741</v>
      </c>
      <c r="L645" s="477">
        <v>60</v>
      </c>
      <c r="M645" s="343">
        <f t="shared" si="29"/>
        <v>455.99540511401733</v>
      </c>
      <c r="N645" s="344">
        <f ca="1" t="shared" si="27"/>
        <v>148</v>
      </c>
      <c r="O645" s="33">
        <v>1</v>
      </c>
      <c r="P645" s="340" t="s">
        <v>513</v>
      </c>
    </row>
    <row r="646" spans="2:16" ht="39.75" customHeight="1">
      <c r="B646" s="25">
        <v>40162</v>
      </c>
      <c r="C646" s="340" t="s">
        <v>289</v>
      </c>
      <c r="D646" s="2" t="s">
        <v>1132</v>
      </c>
      <c r="E646" s="26" t="s">
        <v>318</v>
      </c>
      <c r="F646" s="2" t="s">
        <v>42</v>
      </c>
      <c r="G646" s="2" t="s">
        <v>1824</v>
      </c>
      <c r="H646" s="2" t="s">
        <v>317</v>
      </c>
      <c r="I646" s="201">
        <v>3423.2575533403888</v>
      </c>
      <c r="J646" s="342">
        <v>35.9</v>
      </c>
      <c r="K646" s="357">
        <f t="shared" si="28"/>
        <v>95.35536360279634</v>
      </c>
      <c r="L646" s="477">
        <v>60</v>
      </c>
      <c r="M646" s="343">
        <f t="shared" si="29"/>
        <v>57.05429255567314</v>
      </c>
      <c r="N646" s="344">
        <f ca="1" t="shared" si="27"/>
        <v>147</v>
      </c>
      <c r="O646" s="33">
        <v>1</v>
      </c>
      <c r="P646" s="340" t="s">
        <v>319</v>
      </c>
    </row>
    <row r="647" spans="2:16" ht="39.75" customHeight="1">
      <c r="B647" s="25">
        <v>40162</v>
      </c>
      <c r="C647" s="340" t="s">
        <v>289</v>
      </c>
      <c r="D647" s="2" t="s">
        <v>1133</v>
      </c>
      <c r="E647" s="26" t="s">
        <v>268</v>
      </c>
      <c r="F647" s="2" t="s">
        <v>269</v>
      </c>
      <c r="G647" s="2" t="s">
        <v>1824</v>
      </c>
      <c r="H647" s="2" t="s">
        <v>317</v>
      </c>
      <c r="I647" s="201">
        <v>5220.467768844093</v>
      </c>
      <c r="J647" s="342">
        <v>35.9</v>
      </c>
      <c r="K647" s="357">
        <f t="shared" si="28"/>
        <v>145.41692949426445</v>
      </c>
      <c r="L647" s="477">
        <v>60</v>
      </c>
      <c r="M647" s="343">
        <f t="shared" si="29"/>
        <v>87.00779614740155</v>
      </c>
      <c r="N647" s="344">
        <f ca="1" t="shared" si="27"/>
        <v>147</v>
      </c>
      <c r="O647" s="33">
        <v>1</v>
      </c>
      <c r="P647" s="340" t="s">
        <v>319</v>
      </c>
    </row>
    <row r="648" spans="2:16" ht="39.75" customHeight="1">
      <c r="B648" s="25">
        <v>40162</v>
      </c>
      <c r="C648" s="340" t="s">
        <v>281</v>
      </c>
      <c r="D648" s="2" t="s">
        <v>1506</v>
      </c>
      <c r="E648" s="26" t="s">
        <v>318</v>
      </c>
      <c r="F648" s="2" t="s">
        <v>42</v>
      </c>
      <c r="G648" s="2" t="s">
        <v>1869</v>
      </c>
      <c r="H648" s="2" t="s">
        <v>409</v>
      </c>
      <c r="I648" s="356">
        <v>3423.2575533403888</v>
      </c>
      <c r="J648" s="342">
        <v>35.9</v>
      </c>
      <c r="K648" s="357">
        <f t="shared" si="28"/>
        <v>95.35536360279634</v>
      </c>
      <c r="L648" s="476">
        <v>60</v>
      </c>
      <c r="M648" s="343">
        <f t="shared" si="29"/>
        <v>57.05429255567314</v>
      </c>
      <c r="N648" s="344">
        <f aca="true" ca="1" t="shared" si="30" ref="N648:N711">IF(B648&lt;&gt;0,(ROUND((NOW()-B648)/30,0)),0)</f>
        <v>147</v>
      </c>
      <c r="O648" s="358">
        <v>1</v>
      </c>
      <c r="P648" s="340" t="s">
        <v>319</v>
      </c>
    </row>
    <row r="649" spans="2:16" ht="39.75" customHeight="1">
      <c r="B649" s="25">
        <v>40162</v>
      </c>
      <c r="C649" s="340" t="s">
        <v>289</v>
      </c>
      <c r="D649" s="2" t="s">
        <v>1466</v>
      </c>
      <c r="E649" s="26" t="s">
        <v>268</v>
      </c>
      <c r="F649" s="2" t="s">
        <v>122</v>
      </c>
      <c r="G649" s="2" t="s">
        <v>1869</v>
      </c>
      <c r="H649" s="2" t="s">
        <v>409</v>
      </c>
      <c r="I649" s="356">
        <v>5220.467768844093</v>
      </c>
      <c r="J649" s="342">
        <v>36.8</v>
      </c>
      <c r="K649" s="357">
        <f aca="true" t="shared" si="31" ref="K649:K712">+I649/J649</f>
        <v>141.86053719685037</v>
      </c>
      <c r="L649" s="476">
        <v>60</v>
      </c>
      <c r="M649" s="343">
        <f t="shared" si="29"/>
        <v>87.00779614740155</v>
      </c>
      <c r="N649" s="344">
        <f ca="1" t="shared" si="30"/>
        <v>147</v>
      </c>
      <c r="O649" s="358">
        <v>1</v>
      </c>
      <c r="P649" s="340" t="s">
        <v>319</v>
      </c>
    </row>
    <row r="650" spans="2:16" ht="39.75" customHeight="1">
      <c r="B650" s="25">
        <v>40162</v>
      </c>
      <c r="C650" s="340" t="s">
        <v>289</v>
      </c>
      <c r="D650" s="2" t="s">
        <v>1505</v>
      </c>
      <c r="E650" s="26" t="s">
        <v>383</v>
      </c>
      <c r="F650" s="2" t="s">
        <v>42</v>
      </c>
      <c r="G650" s="2" t="s">
        <v>1869</v>
      </c>
      <c r="H650" s="2" t="s">
        <v>409</v>
      </c>
      <c r="I650" s="356">
        <v>2615.882259385058</v>
      </c>
      <c r="J650" s="342">
        <v>35.9</v>
      </c>
      <c r="K650" s="357">
        <f t="shared" si="31"/>
        <v>72.86580109707684</v>
      </c>
      <c r="L650" s="476">
        <v>60</v>
      </c>
      <c r="M650" s="343">
        <f aca="true" t="shared" si="32" ref="M650:M713">+I650/L730</f>
        <v>43.59803765641764</v>
      </c>
      <c r="N650" s="344">
        <f ca="1" t="shared" si="30"/>
        <v>147</v>
      </c>
      <c r="O650" s="358">
        <v>1</v>
      </c>
      <c r="P650" s="340" t="s">
        <v>319</v>
      </c>
    </row>
    <row r="651" spans="2:16" ht="39.75" customHeight="1">
      <c r="B651" s="25">
        <v>40162</v>
      </c>
      <c r="C651" s="340" t="s">
        <v>289</v>
      </c>
      <c r="D651" s="2" t="s">
        <v>1364</v>
      </c>
      <c r="E651" s="26" t="s">
        <v>318</v>
      </c>
      <c r="F651" s="2" t="s">
        <v>42</v>
      </c>
      <c r="G651" s="2" t="s">
        <v>1844</v>
      </c>
      <c r="H651" s="2" t="s">
        <v>315</v>
      </c>
      <c r="I651" s="356">
        <v>3423.2575533403888</v>
      </c>
      <c r="J651" s="342">
        <v>35.9</v>
      </c>
      <c r="K651" s="357">
        <f t="shared" si="31"/>
        <v>95.35536360279634</v>
      </c>
      <c r="L651" s="476">
        <v>60</v>
      </c>
      <c r="M651" s="343">
        <f t="shared" si="32"/>
        <v>57.05429255567314</v>
      </c>
      <c r="N651" s="344">
        <f ca="1" t="shared" si="30"/>
        <v>147</v>
      </c>
      <c r="O651" s="358">
        <v>1</v>
      </c>
      <c r="P651" s="340" t="s">
        <v>319</v>
      </c>
    </row>
    <row r="652" spans="2:16" ht="39.75" customHeight="1">
      <c r="B652" s="25">
        <v>40162</v>
      </c>
      <c r="C652" s="340" t="s">
        <v>289</v>
      </c>
      <c r="D652" s="2" t="s">
        <v>1363</v>
      </c>
      <c r="E652" s="26" t="s">
        <v>400</v>
      </c>
      <c r="F652" s="2" t="s">
        <v>401</v>
      </c>
      <c r="G652" s="2" t="s">
        <v>1844</v>
      </c>
      <c r="H652" s="2" t="s">
        <v>315</v>
      </c>
      <c r="I652" s="356">
        <v>5220.467768844093</v>
      </c>
      <c r="J652" s="342">
        <v>35.9</v>
      </c>
      <c r="K652" s="357">
        <f t="shared" si="31"/>
        <v>145.41692949426445</v>
      </c>
      <c r="L652" s="476">
        <v>60</v>
      </c>
      <c r="M652" s="343">
        <f t="shared" si="32"/>
        <v>87.00779614740155</v>
      </c>
      <c r="N652" s="344">
        <f ca="1" t="shared" si="30"/>
        <v>147</v>
      </c>
      <c r="O652" s="358">
        <v>1</v>
      </c>
      <c r="P652" s="340" t="s">
        <v>319</v>
      </c>
    </row>
    <row r="653" spans="2:16" ht="39.75" customHeight="1">
      <c r="B653" s="25">
        <v>40162</v>
      </c>
      <c r="C653" s="340" t="s">
        <v>289</v>
      </c>
      <c r="D653" s="2" t="s">
        <v>1693</v>
      </c>
      <c r="E653" s="26" t="s">
        <v>318</v>
      </c>
      <c r="F653" s="2" t="s">
        <v>42</v>
      </c>
      <c r="G653" s="2" t="s">
        <v>1871</v>
      </c>
      <c r="H653" s="2" t="s">
        <v>316</v>
      </c>
      <c r="I653" s="356">
        <v>3423.2575533403888</v>
      </c>
      <c r="J653" s="342">
        <v>35.9</v>
      </c>
      <c r="K653" s="357">
        <f t="shared" si="31"/>
        <v>95.35536360279634</v>
      </c>
      <c r="L653" s="476">
        <v>60</v>
      </c>
      <c r="M653" s="343">
        <f t="shared" si="32"/>
        <v>57.05429255567314</v>
      </c>
      <c r="N653" s="344">
        <f ca="1" t="shared" si="30"/>
        <v>147</v>
      </c>
      <c r="O653" s="358">
        <v>1</v>
      </c>
      <c r="P653" s="340" t="s">
        <v>319</v>
      </c>
    </row>
    <row r="654" spans="2:16" ht="39.75" customHeight="1">
      <c r="B654" s="25">
        <v>40189</v>
      </c>
      <c r="C654" s="340" t="s">
        <v>367</v>
      </c>
      <c r="D654" s="2" t="s">
        <v>1076</v>
      </c>
      <c r="E654" s="1" t="s">
        <v>369</v>
      </c>
      <c r="F654" s="2" t="s">
        <v>370</v>
      </c>
      <c r="G654" s="2" t="s">
        <v>821</v>
      </c>
      <c r="H654" s="2" t="s">
        <v>111</v>
      </c>
      <c r="I654" s="363">
        <v>39930.56</v>
      </c>
      <c r="J654" s="342">
        <v>36.18</v>
      </c>
      <c r="K654" s="357">
        <f t="shared" si="31"/>
        <v>1103.6639027086787</v>
      </c>
      <c r="L654" s="476">
        <v>60</v>
      </c>
      <c r="M654" s="343">
        <f t="shared" si="32"/>
        <v>665.5093333333333</v>
      </c>
      <c r="N654" s="344">
        <f ca="1" t="shared" si="30"/>
        <v>146</v>
      </c>
      <c r="O654" s="33">
        <v>1</v>
      </c>
      <c r="P654" s="340" t="s">
        <v>368</v>
      </c>
    </row>
    <row r="655" spans="2:16" ht="39.75" customHeight="1">
      <c r="B655" s="25">
        <v>40226</v>
      </c>
      <c r="C655" s="340" t="s">
        <v>112</v>
      </c>
      <c r="D655" s="2" t="s">
        <v>1797</v>
      </c>
      <c r="E655" s="26" t="s">
        <v>113</v>
      </c>
      <c r="F655" s="2" t="s">
        <v>202</v>
      </c>
      <c r="G655" s="2" t="s">
        <v>821</v>
      </c>
      <c r="H655" s="2" t="s">
        <v>114</v>
      </c>
      <c r="I655" s="356">
        <v>3200</v>
      </c>
      <c r="J655" s="342">
        <v>36.12</v>
      </c>
      <c r="K655" s="357">
        <f t="shared" si="31"/>
        <v>88.59357696567</v>
      </c>
      <c r="L655" s="476">
        <v>60</v>
      </c>
      <c r="M655" s="343">
        <f t="shared" si="32"/>
        <v>53.333333333333336</v>
      </c>
      <c r="N655" s="344">
        <f ca="1" t="shared" si="30"/>
        <v>145</v>
      </c>
      <c r="O655" s="33">
        <v>-560</v>
      </c>
      <c r="P655" s="340" t="s">
        <v>115</v>
      </c>
    </row>
    <row r="656" spans="2:16" ht="39.75" customHeight="1">
      <c r="B656" s="25">
        <v>40226</v>
      </c>
      <c r="C656" s="340" t="s">
        <v>112</v>
      </c>
      <c r="D656" s="2" t="s">
        <v>1798</v>
      </c>
      <c r="E656" s="26" t="s">
        <v>397</v>
      </c>
      <c r="F656" s="2" t="s">
        <v>42</v>
      </c>
      <c r="G656" s="2" t="s">
        <v>821</v>
      </c>
      <c r="H656" s="2" t="s">
        <v>114</v>
      </c>
      <c r="I656" s="356">
        <v>900</v>
      </c>
      <c r="J656" s="342">
        <v>36.12</v>
      </c>
      <c r="K656" s="357">
        <f t="shared" si="31"/>
        <v>24.916943521594686</v>
      </c>
      <c r="L656" s="476">
        <v>60</v>
      </c>
      <c r="M656" s="343">
        <f t="shared" si="32"/>
        <v>15</v>
      </c>
      <c r="N656" s="344">
        <f ca="1" t="shared" si="30"/>
        <v>145</v>
      </c>
      <c r="O656" s="33">
        <v>1</v>
      </c>
      <c r="P656" s="340" t="s">
        <v>115</v>
      </c>
    </row>
    <row r="657" spans="2:16" ht="39.75" customHeight="1">
      <c r="B657" s="25">
        <v>40240</v>
      </c>
      <c r="C657" s="340" t="s">
        <v>393</v>
      </c>
      <c r="D657" s="2" t="s">
        <v>1207</v>
      </c>
      <c r="E657" s="26" t="s">
        <v>394</v>
      </c>
      <c r="F657" s="2" t="s">
        <v>42</v>
      </c>
      <c r="G657" s="2" t="s">
        <v>1827</v>
      </c>
      <c r="H657" s="2" t="s">
        <v>158</v>
      </c>
      <c r="I657" s="356">
        <v>63672.49</v>
      </c>
      <c r="J657" s="342">
        <v>36.38</v>
      </c>
      <c r="K657" s="357">
        <f t="shared" si="31"/>
        <v>1750.205882352941</v>
      </c>
      <c r="L657" s="476">
        <v>60</v>
      </c>
      <c r="M657" s="343">
        <f t="shared" si="32"/>
        <v>1061.2081666666666</v>
      </c>
      <c r="N657" s="344">
        <f ca="1" t="shared" si="30"/>
        <v>144</v>
      </c>
      <c r="O657" s="33">
        <v>1</v>
      </c>
      <c r="P657" s="340" t="s">
        <v>395</v>
      </c>
    </row>
    <row r="658" spans="2:16" ht="39.75" customHeight="1">
      <c r="B658" s="25">
        <v>40240</v>
      </c>
      <c r="C658" s="340" t="s">
        <v>393</v>
      </c>
      <c r="D658" s="2" t="s">
        <v>1208</v>
      </c>
      <c r="E658" s="26" t="s">
        <v>394</v>
      </c>
      <c r="F658" s="2" t="s">
        <v>42</v>
      </c>
      <c r="G658" s="2" t="s">
        <v>1827</v>
      </c>
      <c r="H658" s="2" t="s">
        <v>158</v>
      </c>
      <c r="I658" s="356">
        <v>63672.49</v>
      </c>
      <c r="J658" s="342">
        <v>36.38</v>
      </c>
      <c r="K658" s="357">
        <f t="shared" si="31"/>
        <v>1750.205882352941</v>
      </c>
      <c r="L658" s="476">
        <v>60</v>
      </c>
      <c r="M658" s="343">
        <f t="shared" si="32"/>
        <v>1061.2081666666666</v>
      </c>
      <c r="N658" s="344">
        <f ca="1" t="shared" si="30"/>
        <v>144</v>
      </c>
      <c r="O658" s="33">
        <v>1</v>
      </c>
      <c r="P658" s="340" t="s">
        <v>395</v>
      </c>
    </row>
    <row r="659" spans="2:16" ht="39.75" customHeight="1">
      <c r="B659" s="25">
        <v>40263</v>
      </c>
      <c r="C659" s="340" t="s">
        <v>116</v>
      </c>
      <c r="D659" s="2" t="s">
        <v>1814</v>
      </c>
      <c r="E659" s="26" t="s">
        <v>117</v>
      </c>
      <c r="F659" s="2" t="s">
        <v>42</v>
      </c>
      <c r="G659" s="2" t="s">
        <v>821</v>
      </c>
      <c r="H659" s="2" t="s">
        <v>366</v>
      </c>
      <c r="I659" s="356">
        <v>4700</v>
      </c>
      <c r="J659" s="342">
        <v>36.48</v>
      </c>
      <c r="K659" s="357">
        <f t="shared" si="31"/>
        <v>128.83771929824562</v>
      </c>
      <c r="L659" s="476">
        <v>60</v>
      </c>
      <c r="M659" s="343">
        <f t="shared" si="32"/>
        <v>78.33333333333333</v>
      </c>
      <c r="N659" s="344">
        <f ca="1" t="shared" si="30"/>
        <v>143</v>
      </c>
      <c r="O659" s="33">
        <v>1</v>
      </c>
      <c r="P659" s="340" t="s">
        <v>481</v>
      </c>
    </row>
    <row r="660" spans="2:16" ht="39.75" customHeight="1">
      <c r="B660" s="25">
        <v>40263</v>
      </c>
      <c r="C660" s="340" t="s">
        <v>116</v>
      </c>
      <c r="D660" s="2" t="s">
        <v>1815</v>
      </c>
      <c r="E660" s="26" t="s">
        <v>118</v>
      </c>
      <c r="F660" s="2" t="s">
        <v>119</v>
      </c>
      <c r="G660" s="2" t="s">
        <v>821</v>
      </c>
      <c r="H660" s="2" t="s">
        <v>366</v>
      </c>
      <c r="I660" s="356">
        <v>30958</v>
      </c>
      <c r="J660" s="342">
        <v>36.48</v>
      </c>
      <c r="K660" s="357">
        <f t="shared" si="31"/>
        <v>848.6293859649123</v>
      </c>
      <c r="L660" s="476">
        <v>60</v>
      </c>
      <c r="M660" s="343">
        <f t="shared" si="32"/>
        <v>257.98333333333335</v>
      </c>
      <c r="N660" s="344">
        <f ca="1" t="shared" si="30"/>
        <v>143</v>
      </c>
      <c r="O660" s="33">
        <v>1</v>
      </c>
      <c r="P660" s="340" t="s">
        <v>481</v>
      </c>
    </row>
    <row r="661" spans="2:16" ht="39.75" customHeight="1">
      <c r="B661" s="25">
        <v>40331</v>
      </c>
      <c r="C661" s="340" t="s">
        <v>80</v>
      </c>
      <c r="D661" s="2" t="s">
        <v>1777</v>
      </c>
      <c r="E661" s="1" t="s">
        <v>2619</v>
      </c>
      <c r="F661" s="17" t="s">
        <v>499</v>
      </c>
      <c r="G661" s="2" t="s">
        <v>3490</v>
      </c>
      <c r="H661" s="2" t="s">
        <v>437</v>
      </c>
      <c r="I661" s="363">
        <v>99240.62</v>
      </c>
      <c r="J661" s="347">
        <v>36.7082</v>
      </c>
      <c r="K661" s="357">
        <f t="shared" si="31"/>
        <v>2703.5000354144304</v>
      </c>
      <c r="L661" s="476">
        <v>60</v>
      </c>
      <c r="M661" s="343">
        <f t="shared" si="32"/>
        <v>827.0051666666666</v>
      </c>
      <c r="N661" s="344">
        <f ca="1" t="shared" si="30"/>
        <v>141</v>
      </c>
      <c r="O661" s="33">
        <v>1</v>
      </c>
      <c r="P661" s="340" t="s">
        <v>82</v>
      </c>
    </row>
    <row r="662" spans="2:16" ht="39.75" customHeight="1">
      <c r="B662" s="25">
        <v>40346</v>
      </c>
      <c r="C662" s="340" t="s">
        <v>83</v>
      </c>
      <c r="D662" s="2" t="s">
        <v>1787</v>
      </c>
      <c r="E662" s="1" t="s">
        <v>84</v>
      </c>
      <c r="F662" s="2" t="s">
        <v>42</v>
      </c>
      <c r="G662" s="2" t="s">
        <v>1834</v>
      </c>
      <c r="H662" s="2" t="s">
        <v>437</v>
      </c>
      <c r="I662" s="363">
        <v>7584</v>
      </c>
      <c r="J662" s="347">
        <v>36.72</v>
      </c>
      <c r="K662" s="357">
        <f t="shared" si="31"/>
        <v>206.5359477124183</v>
      </c>
      <c r="L662" s="476">
        <v>60</v>
      </c>
      <c r="M662" s="343">
        <f t="shared" si="32"/>
        <v>63.2</v>
      </c>
      <c r="N662" s="344">
        <f ca="1" t="shared" si="30"/>
        <v>141</v>
      </c>
      <c r="O662" s="33">
        <v>1</v>
      </c>
      <c r="P662" s="340" t="s">
        <v>85</v>
      </c>
    </row>
    <row r="663" spans="2:16" ht="39.75" customHeight="1">
      <c r="B663" s="25">
        <v>40346</v>
      </c>
      <c r="C663" s="340" t="s">
        <v>83</v>
      </c>
      <c r="D663" s="2" t="s">
        <v>1788</v>
      </c>
      <c r="E663" s="1" t="s">
        <v>84</v>
      </c>
      <c r="F663" s="2" t="s">
        <v>42</v>
      </c>
      <c r="G663" s="2" t="s">
        <v>1834</v>
      </c>
      <c r="H663" s="2" t="s">
        <v>437</v>
      </c>
      <c r="I663" s="363">
        <v>7584</v>
      </c>
      <c r="J663" s="347">
        <v>36.72</v>
      </c>
      <c r="K663" s="357">
        <f t="shared" si="31"/>
        <v>206.5359477124183</v>
      </c>
      <c r="L663" s="476">
        <v>60</v>
      </c>
      <c r="M663" s="343">
        <f t="shared" si="32"/>
        <v>63.2</v>
      </c>
      <c r="N663" s="344">
        <f ca="1" t="shared" si="30"/>
        <v>141</v>
      </c>
      <c r="O663" s="33">
        <v>1</v>
      </c>
      <c r="P663" s="340" t="s">
        <v>85</v>
      </c>
    </row>
    <row r="664" spans="2:16" ht="39.75" customHeight="1">
      <c r="B664" s="25">
        <v>40350</v>
      </c>
      <c r="C664" s="340" t="s">
        <v>86</v>
      </c>
      <c r="D664" s="2" t="s">
        <v>1271</v>
      </c>
      <c r="E664" s="1" t="s">
        <v>87</v>
      </c>
      <c r="F664" s="2" t="s">
        <v>88</v>
      </c>
      <c r="G664" s="2" t="s">
        <v>821</v>
      </c>
      <c r="H664" s="2" t="s">
        <v>109</v>
      </c>
      <c r="I664" s="363">
        <v>10344.82</v>
      </c>
      <c r="J664" s="347">
        <v>36.9</v>
      </c>
      <c r="K664" s="357">
        <f t="shared" si="31"/>
        <v>280.34742547425475</v>
      </c>
      <c r="L664" s="476">
        <v>60</v>
      </c>
      <c r="M664" s="343">
        <f t="shared" si="32"/>
        <v>86.20683333333334</v>
      </c>
      <c r="N664" s="344">
        <f ca="1" t="shared" si="30"/>
        <v>141</v>
      </c>
      <c r="O664" s="33">
        <v>1</v>
      </c>
      <c r="P664" s="340" t="s">
        <v>89</v>
      </c>
    </row>
    <row r="665" spans="2:16" ht="39.75" customHeight="1">
      <c r="B665" s="25">
        <v>40350</v>
      </c>
      <c r="C665" s="340" t="s">
        <v>86</v>
      </c>
      <c r="D665" s="2" t="s">
        <v>1272</v>
      </c>
      <c r="E665" s="1" t="s">
        <v>87</v>
      </c>
      <c r="F665" s="2" t="s">
        <v>88</v>
      </c>
      <c r="G665" s="2" t="s">
        <v>821</v>
      </c>
      <c r="H665" s="2" t="s">
        <v>109</v>
      </c>
      <c r="I665" s="363">
        <v>10344.82</v>
      </c>
      <c r="J665" s="347">
        <v>36.9</v>
      </c>
      <c r="K665" s="357">
        <f t="shared" si="31"/>
        <v>280.34742547425475</v>
      </c>
      <c r="L665" s="476">
        <v>60</v>
      </c>
      <c r="M665" s="343">
        <f t="shared" si="32"/>
        <v>86.20683333333334</v>
      </c>
      <c r="N665" s="344">
        <f ca="1" t="shared" si="30"/>
        <v>141</v>
      </c>
      <c r="O665" s="33">
        <v>1</v>
      </c>
      <c r="P665" s="340" t="s">
        <v>89</v>
      </c>
    </row>
    <row r="666" spans="2:16" ht="39.75" customHeight="1">
      <c r="B666" s="25">
        <v>40350</v>
      </c>
      <c r="C666" s="340" t="s">
        <v>86</v>
      </c>
      <c r="D666" s="2" t="s">
        <v>1273</v>
      </c>
      <c r="E666" s="1" t="s">
        <v>90</v>
      </c>
      <c r="F666" s="2" t="s">
        <v>91</v>
      </c>
      <c r="G666" s="2" t="s">
        <v>821</v>
      </c>
      <c r="H666" s="2" t="s">
        <v>109</v>
      </c>
      <c r="I666" s="363">
        <v>862.06</v>
      </c>
      <c r="J666" s="347">
        <v>36.9</v>
      </c>
      <c r="K666" s="357">
        <f t="shared" si="31"/>
        <v>23.362059620596206</v>
      </c>
      <c r="L666" s="476">
        <v>60</v>
      </c>
      <c r="M666" s="343">
        <f t="shared" si="32"/>
        <v>14.367666666666667</v>
      </c>
      <c r="N666" s="344">
        <f ca="1" t="shared" si="30"/>
        <v>141</v>
      </c>
      <c r="O666" s="33">
        <v>1</v>
      </c>
      <c r="P666" s="340" t="s">
        <v>89</v>
      </c>
    </row>
    <row r="667" spans="2:16" ht="39.75" customHeight="1">
      <c r="B667" s="25">
        <v>40350</v>
      </c>
      <c r="C667" s="340" t="s">
        <v>86</v>
      </c>
      <c r="D667" s="2" t="s">
        <v>1274</v>
      </c>
      <c r="E667" s="1" t="s">
        <v>90</v>
      </c>
      <c r="F667" s="2" t="s">
        <v>91</v>
      </c>
      <c r="G667" s="2" t="s">
        <v>821</v>
      </c>
      <c r="H667" s="2" t="s">
        <v>109</v>
      </c>
      <c r="I667" s="363">
        <v>862.06</v>
      </c>
      <c r="J667" s="347">
        <v>36.9</v>
      </c>
      <c r="K667" s="357">
        <f t="shared" si="31"/>
        <v>23.362059620596206</v>
      </c>
      <c r="L667" s="476">
        <v>60</v>
      </c>
      <c r="M667" s="343">
        <f t="shared" si="32"/>
        <v>7.183833333333333</v>
      </c>
      <c r="N667" s="344">
        <f ca="1" t="shared" si="30"/>
        <v>141</v>
      </c>
      <c r="O667" s="33">
        <v>1</v>
      </c>
      <c r="P667" s="340" t="s">
        <v>89</v>
      </c>
    </row>
    <row r="668" spans="2:16" ht="39.75" customHeight="1">
      <c r="B668" s="25">
        <v>40352</v>
      </c>
      <c r="C668" s="340" t="s">
        <v>92</v>
      </c>
      <c r="D668" s="2" t="s">
        <v>1269</v>
      </c>
      <c r="E668" s="1" t="s">
        <v>96</v>
      </c>
      <c r="F668" s="2" t="s">
        <v>97</v>
      </c>
      <c r="G668" s="2" t="s">
        <v>821</v>
      </c>
      <c r="H668" s="2" t="s">
        <v>109</v>
      </c>
      <c r="I668" s="363">
        <v>3775.66</v>
      </c>
      <c r="J668" s="347">
        <v>36.9</v>
      </c>
      <c r="K668" s="357">
        <f t="shared" si="31"/>
        <v>102.32140921409214</v>
      </c>
      <c r="L668" s="476">
        <v>60</v>
      </c>
      <c r="M668" s="343">
        <f t="shared" si="32"/>
        <v>62.92766666666667</v>
      </c>
      <c r="N668" s="344">
        <f ca="1" t="shared" si="30"/>
        <v>140</v>
      </c>
      <c r="O668" s="33">
        <v>1</v>
      </c>
      <c r="P668" s="340" t="s">
        <v>93</v>
      </c>
    </row>
    <row r="669" spans="2:16" ht="39.75" customHeight="1">
      <c r="B669" s="25">
        <v>40352</v>
      </c>
      <c r="C669" s="340" t="s">
        <v>92</v>
      </c>
      <c r="D669" s="2" t="s">
        <v>1270</v>
      </c>
      <c r="E669" s="1" t="s">
        <v>94</v>
      </c>
      <c r="F669" s="2" t="s">
        <v>95</v>
      </c>
      <c r="G669" s="2" t="s">
        <v>821</v>
      </c>
      <c r="H669" s="2" t="s">
        <v>109</v>
      </c>
      <c r="I669" s="363">
        <v>25775.86</v>
      </c>
      <c r="J669" s="347">
        <v>36.9</v>
      </c>
      <c r="K669" s="357">
        <f t="shared" si="31"/>
        <v>698.5327913279133</v>
      </c>
      <c r="L669" s="476">
        <v>60</v>
      </c>
      <c r="M669" s="343">
        <f t="shared" si="32"/>
        <v>214.79883333333333</v>
      </c>
      <c r="N669" s="344">
        <f ca="1" t="shared" si="30"/>
        <v>140</v>
      </c>
      <c r="O669" s="33">
        <v>1</v>
      </c>
      <c r="P669" s="340" t="s">
        <v>93</v>
      </c>
    </row>
    <row r="670" spans="2:16" ht="39.75" customHeight="1">
      <c r="B670" s="359">
        <v>40359</v>
      </c>
      <c r="C670" s="345" t="s">
        <v>98</v>
      </c>
      <c r="D670" s="2" t="s">
        <v>1227</v>
      </c>
      <c r="E670" s="364" t="s">
        <v>101</v>
      </c>
      <c r="F670" s="361" t="s">
        <v>42</v>
      </c>
      <c r="G670" s="361" t="s">
        <v>1846</v>
      </c>
      <c r="H670" s="361" t="s">
        <v>28</v>
      </c>
      <c r="I670" s="35">
        <v>1024</v>
      </c>
      <c r="J670" s="349">
        <v>36.78</v>
      </c>
      <c r="K670" s="357">
        <f t="shared" si="31"/>
        <v>27.84121805328983</v>
      </c>
      <c r="L670" s="477">
        <v>60</v>
      </c>
      <c r="M670" s="343">
        <f t="shared" si="32"/>
        <v>17.066666666666666</v>
      </c>
      <c r="N670" s="344">
        <f ca="1" t="shared" si="30"/>
        <v>140</v>
      </c>
      <c r="O670" s="33">
        <v>1</v>
      </c>
      <c r="P670" s="345" t="s">
        <v>100</v>
      </c>
    </row>
    <row r="671" spans="2:16" ht="39.75" customHeight="1">
      <c r="B671" s="359">
        <v>40359</v>
      </c>
      <c r="C671" s="345" t="s">
        <v>98</v>
      </c>
      <c r="D671" s="2" t="s">
        <v>1228</v>
      </c>
      <c r="E671" s="364" t="s">
        <v>101</v>
      </c>
      <c r="F671" s="361" t="s">
        <v>42</v>
      </c>
      <c r="G671" s="361" t="s">
        <v>1846</v>
      </c>
      <c r="H671" s="361" t="s">
        <v>28</v>
      </c>
      <c r="I671" s="35">
        <v>1024</v>
      </c>
      <c r="J671" s="349">
        <v>36.78</v>
      </c>
      <c r="K671" s="357">
        <f t="shared" si="31"/>
        <v>27.84121805328983</v>
      </c>
      <c r="L671" s="477">
        <v>60</v>
      </c>
      <c r="M671" s="343">
        <f t="shared" si="32"/>
        <v>17.066666666666666</v>
      </c>
      <c r="N671" s="344">
        <f ca="1" t="shared" si="30"/>
        <v>140</v>
      </c>
      <c r="O671" s="33">
        <v>1</v>
      </c>
      <c r="P671" s="345" t="s">
        <v>100</v>
      </c>
    </row>
    <row r="672" spans="2:16" ht="39.75" customHeight="1">
      <c r="B672" s="359">
        <v>40359</v>
      </c>
      <c r="C672" s="345" t="s">
        <v>98</v>
      </c>
      <c r="D672" s="2" t="s">
        <v>1229</v>
      </c>
      <c r="E672" s="364" t="s">
        <v>101</v>
      </c>
      <c r="F672" s="361" t="s">
        <v>42</v>
      </c>
      <c r="G672" s="361" t="s">
        <v>1846</v>
      </c>
      <c r="H672" s="361" t="s">
        <v>28</v>
      </c>
      <c r="I672" s="35">
        <v>1024</v>
      </c>
      <c r="J672" s="349">
        <v>36.78</v>
      </c>
      <c r="K672" s="357">
        <f t="shared" si="31"/>
        <v>27.84121805328983</v>
      </c>
      <c r="L672" s="477">
        <v>60</v>
      </c>
      <c r="M672" s="343">
        <f t="shared" si="32"/>
        <v>17.066666666666666</v>
      </c>
      <c r="N672" s="344">
        <f ca="1" t="shared" si="30"/>
        <v>140</v>
      </c>
      <c r="O672" s="33">
        <v>1</v>
      </c>
      <c r="P672" s="345" t="s">
        <v>100</v>
      </c>
    </row>
    <row r="673" spans="2:16" ht="39.75" customHeight="1">
      <c r="B673" s="359">
        <v>40359</v>
      </c>
      <c r="C673" s="345" t="s">
        <v>98</v>
      </c>
      <c r="D673" s="2" t="s">
        <v>1230</v>
      </c>
      <c r="E673" s="364" t="s">
        <v>101</v>
      </c>
      <c r="F673" s="361" t="s">
        <v>42</v>
      </c>
      <c r="G673" s="361" t="s">
        <v>1846</v>
      </c>
      <c r="H673" s="361" t="s">
        <v>28</v>
      </c>
      <c r="I673" s="35">
        <v>1024</v>
      </c>
      <c r="J673" s="349">
        <v>36.78</v>
      </c>
      <c r="K673" s="357">
        <f t="shared" si="31"/>
        <v>27.84121805328983</v>
      </c>
      <c r="L673" s="477">
        <v>60</v>
      </c>
      <c r="M673" s="343">
        <f t="shared" si="32"/>
        <v>17.066666666666666</v>
      </c>
      <c r="N673" s="344">
        <f ca="1" t="shared" si="30"/>
        <v>140</v>
      </c>
      <c r="O673" s="33">
        <v>1</v>
      </c>
      <c r="P673" s="345" t="s">
        <v>100</v>
      </c>
    </row>
    <row r="674" spans="2:16" ht="39.75" customHeight="1">
      <c r="B674" s="359">
        <v>40359</v>
      </c>
      <c r="C674" s="345" t="s">
        <v>98</v>
      </c>
      <c r="D674" s="2" t="s">
        <v>1231</v>
      </c>
      <c r="E674" s="364" t="s">
        <v>101</v>
      </c>
      <c r="F674" s="361" t="s">
        <v>42</v>
      </c>
      <c r="G674" s="361" t="s">
        <v>1846</v>
      </c>
      <c r="H674" s="361" t="s">
        <v>28</v>
      </c>
      <c r="I674" s="35">
        <v>1024</v>
      </c>
      <c r="J674" s="349">
        <v>36.78</v>
      </c>
      <c r="K674" s="357">
        <f t="shared" si="31"/>
        <v>27.84121805328983</v>
      </c>
      <c r="L674" s="477">
        <v>60</v>
      </c>
      <c r="M674" s="343">
        <f t="shared" si="32"/>
        <v>17.066666666666666</v>
      </c>
      <c r="N674" s="344">
        <f ca="1" t="shared" si="30"/>
        <v>140</v>
      </c>
      <c r="O674" s="33">
        <v>1</v>
      </c>
      <c r="P674" s="345" t="s">
        <v>100</v>
      </c>
    </row>
    <row r="675" spans="2:16" ht="39.75" customHeight="1">
      <c r="B675" s="359">
        <v>40359</v>
      </c>
      <c r="C675" s="345" t="s">
        <v>98</v>
      </c>
      <c r="D675" s="2" t="s">
        <v>1232</v>
      </c>
      <c r="E675" s="364" t="s">
        <v>101</v>
      </c>
      <c r="F675" s="361" t="s">
        <v>42</v>
      </c>
      <c r="G675" s="361" t="s">
        <v>1847</v>
      </c>
      <c r="H675" s="361" t="s">
        <v>28</v>
      </c>
      <c r="I675" s="35">
        <v>1024</v>
      </c>
      <c r="J675" s="349">
        <v>36.78</v>
      </c>
      <c r="K675" s="357">
        <f t="shared" si="31"/>
        <v>27.84121805328983</v>
      </c>
      <c r="L675" s="477">
        <v>60</v>
      </c>
      <c r="M675" s="343">
        <f t="shared" si="32"/>
        <v>17.066666666666666</v>
      </c>
      <c r="N675" s="344">
        <f ca="1" t="shared" si="30"/>
        <v>140</v>
      </c>
      <c r="O675" s="33">
        <v>1</v>
      </c>
      <c r="P675" s="345" t="s">
        <v>100</v>
      </c>
    </row>
    <row r="676" spans="2:16" ht="39.75" customHeight="1">
      <c r="B676" s="359">
        <v>40359</v>
      </c>
      <c r="C676" s="345" t="s">
        <v>98</v>
      </c>
      <c r="D676" s="2" t="s">
        <v>1233</v>
      </c>
      <c r="E676" s="364" t="s">
        <v>101</v>
      </c>
      <c r="F676" s="361" t="s">
        <v>42</v>
      </c>
      <c r="G676" s="361" t="s">
        <v>1847</v>
      </c>
      <c r="H676" s="361" t="s">
        <v>28</v>
      </c>
      <c r="I676" s="35">
        <v>1024</v>
      </c>
      <c r="J676" s="349">
        <v>36.78</v>
      </c>
      <c r="K676" s="357">
        <f t="shared" si="31"/>
        <v>27.84121805328983</v>
      </c>
      <c r="L676" s="477">
        <v>60</v>
      </c>
      <c r="M676" s="343">
        <f t="shared" si="32"/>
        <v>17.066666666666666</v>
      </c>
      <c r="N676" s="344">
        <f ca="1" t="shared" si="30"/>
        <v>140</v>
      </c>
      <c r="O676" s="33">
        <v>1</v>
      </c>
      <c r="P676" s="345" t="s">
        <v>100</v>
      </c>
    </row>
    <row r="677" spans="2:16" ht="39.75" customHeight="1">
      <c r="B677" s="359">
        <v>40359</v>
      </c>
      <c r="C677" s="345" t="s">
        <v>98</v>
      </c>
      <c r="D677" s="2" t="s">
        <v>1234</v>
      </c>
      <c r="E677" s="364" t="s">
        <v>101</v>
      </c>
      <c r="F677" s="361" t="s">
        <v>42</v>
      </c>
      <c r="G677" s="361" t="s">
        <v>1847</v>
      </c>
      <c r="H677" s="361" t="s">
        <v>28</v>
      </c>
      <c r="I677" s="35">
        <v>1024</v>
      </c>
      <c r="J677" s="349">
        <v>36.78</v>
      </c>
      <c r="K677" s="357">
        <f t="shared" si="31"/>
        <v>27.84121805328983</v>
      </c>
      <c r="L677" s="477">
        <v>60</v>
      </c>
      <c r="M677" s="343">
        <f t="shared" si="32"/>
        <v>17.066666666666666</v>
      </c>
      <c r="N677" s="344">
        <f ca="1" t="shared" si="30"/>
        <v>140</v>
      </c>
      <c r="O677" s="33">
        <v>1</v>
      </c>
      <c r="P677" s="345" t="s">
        <v>100</v>
      </c>
    </row>
    <row r="678" spans="2:16" ht="39.75" customHeight="1">
      <c r="B678" s="359">
        <v>40359</v>
      </c>
      <c r="C678" s="345" t="s">
        <v>98</v>
      </c>
      <c r="D678" s="2" t="s">
        <v>1235</v>
      </c>
      <c r="E678" s="364" t="s">
        <v>101</v>
      </c>
      <c r="F678" s="361" t="s">
        <v>42</v>
      </c>
      <c r="G678" s="361" t="s">
        <v>1847</v>
      </c>
      <c r="H678" s="361" t="s">
        <v>28</v>
      </c>
      <c r="I678" s="35">
        <v>1024</v>
      </c>
      <c r="J678" s="349">
        <v>36.78</v>
      </c>
      <c r="K678" s="357">
        <f t="shared" si="31"/>
        <v>27.84121805328983</v>
      </c>
      <c r="L678" s="477">
        <v>60</v>
      </c>
      <c r="M678" s="343">
        <f t="shared" si="32"/>
        <v>17.066666666666666</v>
      </c>
      <c r="N678" s="344">
        <f ca="1" t="shared" si="30"/>
        <v>140</v>
      </c>
      <c r="O678" s="33">
        <v>1</v>
      </c>
      <c r="P678" s="345" t="s">
        <v>100</v>
      </c>
    </row>
    <row r="679" spans="2:16" ht="39.75" customHeight="1">
      <c r="B679" s="359">
        <v>40359</v>
      </c>
      <c r="C679" s="345" t="s">
        <v>98</v>
      </c>
      <c r="D679" s="2" t="s">
        <v>1236</v>
      </c>
      <c r="E679" s="364" t="s">
        <v>101</v>
      </c>
      <c r="F679" s="361" t="s">
        <v>42</v>
      </c>
      <c r="G679" s="361" t="s">
        <v>1847</v>
      </c>
      <c r="H679" s="361" t="s">
        <v>28</v>
      </c>
      <c r="I679" s="35">
        <v>1024</v>
      </c>
      <c r="J679" s="349">
        <v>36.78</v>
      </c>
      <c r="K679" s="357">
        <f t="shared" si="31"/>
        <v>27.84121805328983</v>
      </c>
      <c r="L679" s="477">
        <v>60</v>
      </c>
      <c r="M679" s="343">
        <f t="shared" si="32"/>
        <v>17.066666666666666</v>
      </c>
      <c r="N679" s="344">
        <f ca="1" t="shared" si="30"/>
        <v>140</v>
      </c>
      <c r="O679" s="33">
        <v>1</v>
      </c>
      <c r="P679" s="345" t="s">
        <v>100</v>
      </c>
    </row>
    <row r="680" spans="2:16" ht="39.75" customHeight="1">
      <c r="B680" s="359">
        <v>40359</v>
      </c>
      <c r="C680" s="345" t="s">
        <v>98</v>
      </c>
      <c r="D680" s="2" t="s">
        <v>1216</v>
      </c>
      <c r="E680" s="364" t="s">
        <v>99</v>
      </c>
      <c r="F680" s="361" t="s">
        <v>42</v>
      </c>
      <c r="G680" s="361" t="s">
        <v>1842</v>
      </c>
      <c r="H680" s="361" t="s">
        <v>28</v>
      </c>
      <c r="I680" s="35">
        <v>6192</v>
      </c>
      <c r="J680" s="349">
        <v>36.78</v>
      </c>
      <c r="K680" s="357">
        <f t="shared" si="31"/>
        <v>168.35236541598695</v>
      </c>
      <c r="L680" s="477">
        <v>60</v>
      </c>
      <c r="M680" s="343">
        <f t="shared" si="32"/>
        <v>103.2</v>
      </c>
      <c r="N680" s="344">
        <f ca="1" t="shared" si="30"/>
        <v>140</v>
      </c>
      <c r="O680" s="33">
        <v>1</v>
      </c>
      <c r="P680" s="345" t="s">
        <v>100</v>
      </c>
    </row>
    <row r="681" spans="2:16" ht="39.75" customHeight="1">
      <c r="B681" s="359">
        <v>40359</v>
      </c>
      <c r="C681" s="345" t="s">
        <v>98</v>
      </c>
      <c r="D681" s="2" t="s">
        <v>1217</v>
      </c>
      <c r="E681" s="364" t="s">
        <v>101</v>
      </c>
      <c r="F681" s="361" t="s">
        <v>42</v>
      </c>
      <c r="G681" s="361" t="s">
        <v>1842</v>
      </c>
      <c r="H681" s="361" t="s">
        <v>28</v>
      </c>
      <c r="I681" s="35">
        <v>1024</v>
      </c>
      <c r="J681" s="349">
        <v>36.78</v>
      </c>
      <c r="K681" s="357">
        <f t="shared" si="31"/>
        <v>27.84121805328983</v>
      </c>
      <c r="L681" s="477">
        <v>60</v>
      </c>
      <c r="M681" s="343">
        <f t="shared" si="32"/>
        <v>17.066666666666666</v>
      </c>
      <c r="N681" s="344">
        <f ca="1" t="shared" si="30"/>
        <v>140</v>
      </c>
      <c r="O681" s="33">
        <v>1</v>
      </c>
      <c r="P681" s="345" t="s">
        <v>100</v>
      </c>
    </row>
    <row r="682" spans="2:16" ht="39.75" customHeight="1">
      <c r="B682" s="359">
        <v>40359</v>
      </c>
      <c r="C682" s="345" t="s">
        <v>98</v>
      </c>
      <c r="D682" s="2" t="s">
        <v>1218</v>
      </c>
      <c r="E682" s="364" t="s">
        <v>101</v>
      </c>
      <c r="F682" s="361" t="s">
        <v>42</v>
      </c>
      <c r="G682" s="361" t="s">
        <v>1842</v>
      </c>
      <c r="H682" s="361" t="s">
        <v>28</v>
      </c>
      <c r="I682" s="35">
        <v>1024</v>
      </c>
      <c r="J682" s="349">
        <v>36.78</v>
      </c>
      <c r="K682" s="357">
        <f t="shared" si="31"/>
        <v>27.84121805328983</v>
      </c>
      <c r="L682" s="477">
        <v>60</v>
      </c>
      <c r="M682" s="343">
        <f t="shared" si="32"/>
        <v>17.066666666666666</v>
      </c>
      <c r="N682" s="344">
        <f ca="1" t="shared" si="30"/>
        <v>140</v>
      </c>
      <c r="O682" s="33">
        <v>1</v>
      </c>
      <c r="P682" s="345" t="s">
        <v>100</v>
      </c>
    </row>
    <row r="683" spans="2:16" ht="39.75" customHeight="1">
      <c r="B683" s="359">
        <v>40359</v>
      </c>
      <c r="C683" s="345" t="s">
        <v>98</v>
      </c>
      <c r="D683" s="2" t="s">
        <v>1219</v>
      </c>
      <c r="E683" s="364" t="s">
        <v>101</v>
      </c>
      <c r="F683" s="361" t="s">
        <v>42</v>
      </c>
      <c r="G683" s="361" t="s">
        <v>1842</v>
      </c>
      <c r="H683" s="361" t="s">
        <v>28</v>
      </c>
      <c r="I683" s="35">
        <v>1024</v>
      </c>
      <c r="J683" s="349">
        <v>36.78</v>
      </c>
      <c r="K683" s="357">
        <f t="shared" si="31"/>
        <v>27.84121805328983</v>
      </c>
      <c r="L683" s="477">
        <v>60</v>
      </c>
      <c r="M683" s="343">
        <f t="shared" si="32"/>
        <v>17.066666666666666</v>
      </c>
      <c r="N683" s="344">
        <f ca="1" t="shared" si="30"/>
        <v>140</v>
      </c>
      <c r="O683" s="33">
        <v>1</v>
      </c>
      <c r="P683" s="345" t="s">
        <v>100</v>
      </c>
    </row>
    <row r="684" spans="2:16" ht="39.75" customHeight="1">
      <c r="B684" s="359">
        <v>40359</v>
      </c>
      <c r="C684" s="345" t="s">
        <v>98</v>
      </c>
      <c r="D684" s="2" t="s">
        <v>1220</v>
      </c>
      <c r="E684" s="364" t="s">
        <v>101</v>
      </c>
      <c r="F684" s="361" t="s">
        <v>42</v>
      </c>
      <c r="G684" s="361" t="s">
        <v>1842</v>
      </c>
      <c r="H684" s="361" t="s">
        <v>28</v>
      </c>
      <c r="I684" s="35">
        <v>1024</v>
      </c>
      <c r="J684" s="349">
        <v>36.78</v>
      </c>
      <c r="K684" s="357">
        <f t="shared" si="31"/>
        <v>27.84121805328983</v>
      </c>
      <c r="L684" s="477">
        <v>60</v>
      </c>
      <c r="M684" s="343">
        <f t="shared" si="32"/>
        <v>17.066666666666666</v>
      </c>
      <c r="N684" s="344">
        <f ca="1" t="shared" si="30"/>
        <v>140</v>
      </c>
      <c r="O684" s="33">
        <v>1</v>
      </c>
      <c r="P684" s="345" t="s">
        <v>100</v>
      </c>
    </row>
    <row r="685" spans="2:16" ht="39.75" customHeight="1">
      <c r="B685" s="359">
        <v>40359</v>
      </c>
      <c r="C685" s="345" t="s">
        <v>98</v>
      </c>
      <c r="D685" s="2" t="s">
        <v>1221</v>
      </c>
      <c r="E685" s="364" t="s">
        <v>101</v>
      </c>
      <c r="F685" s="361" t="s">
        <v>42</v>
      </c>
      <c r="G685" s="361" t="s">
        <v>1842</v>
      </c>
      <c r="H685" s="361" t="s">
        <v>28</v>
      </c>
      <c r="I685" s="35">
        <v>1024</v>
      </c>
      <c r="J685" s="349">
        <v>36.78</v>
      </c>
      <c r="K685" s="357">
        <f t="shared" si="31"/>
        <v>27.84121805328983</v>
      </c>
      <c r="L685" s="477">
        <v>60</v>
      </c>
      <c r="M685" s="343">
        <f t="shared" si="32"/>
        <v>17.066666666666666</v>
      </c>
      <c r="N685" s="344">
        <f ca="1" t="shared" si="30"/>
        <v>140</v>
      </c>
      <c r="O685" s="33">
        <v>1</v>
      </c>
      <c r="P685" s="345" t="s">
        <v>100</v>
      </c>
    </row>
    <row r="686" spans="2:16" ht="39.75" customHeight="1">
      <c r="B686" s="359">
        <v>40359</v>
      </c>
      <c r="C686" s="345" t="s">
        <v>98</v>
      </c>
      <c r="D686" s="2" t="s">
        <v>1222</v>
      </c>
      <c r="E686" s="364" t="s">
        <v>101</v>
      </c>
      <c r="F686" s="361" t="s">
        <v>42</v>
      </c>
      <c r="G686" s="361" t="s">
        <v>1842</v>
      </c>
      <c r="H686" s="361" t="s">
        <v>28</v>
      </c>
      <c r="I686" s="35">
        <v>1024</v>
      </c>
      <c r="J686" s="349">
        <v>36.78</v>
      </c>
      <c r="K686" s="357">
        <f t="shared" si="31"/>
        <v>27.84121805328983</v>
      </c>
      <c r="L686" s="477">
        <v>60</v>
      </c>
      <c r="M686" s="343">
        <f t="shared" si="32"/>
        <v>17.066666666666666</v>
      </c>
      <c r="N686" s="344">
        <f ca="1" t="shared" si="30"/>
        <v>140</v>
      </c>
      <c r="O686" s="33">
        <v>1</v>
      </c>
      <c r="P686" s="345" t="s">
        <v>100</v>
      </c>
    </row>
    <row r="687" spans="2:16" ht="39.75" customHeight="1">
      <c r="B687" s="359">
        <v>40359</v>
      </c>
      <c r="C687" s="345" t="s">
        <v>98</v>
      </c>
      <c r="D687" s="2" t="s">
        <v>1223</v>
      </c>
      <c r="E687" s="364" t="s">
        <v>101</v>
      </c>
      <c r="F687" s="361" t="s">
        <v>42</v>
      </c>
      <c r="G687" s="361" t="s">
        <v>1842</v>
      </c>
      <c r="H687" s="361" t="s">
        <v>28</v>
      </c>
      <c r="I687" s="35">
        <v>1024</v>
      </c>
      <c r="J687" s="349">
        <v>36.78</v>
      </c>
      <c r="K687" s="357">
        <f t="shared" si="31"/>
        <v>27.84121805328983</v>
      </c>
      <c r="L687" s="477">
        <v>60</v>
      </c>
      <c r="M687" s="343">
        <f t="shared" si="32"/>
        <v>8.533333333333333</v>
      </c>
      <c r="N687" s="344">
        <f ca="1" t="shared" si="30"/>
        <v>140</v>
      </c>
      <c r="O687" s="33">
        <v>1</v>
      </c>
      <c r="P687" s="345" t="s">
        <v>100</v>
      </c>
    </row>
    <row r="688" spans="2:16" ht="39.75" customHeight="1">
      <c r="B688" s="359">
        <v>40359</v>
      </c>
      <c r="C688" s="345" t="s">
        <v>98</v>
      </c>
      <c r="D688" s="2" t="s">
        <v>1224</v>
      </c>
      <c r="E688" s="364" t="s">
        <v>101</v>
      </c>
      <c r="F688" s="361" t="s">
        <v>42</v>
      </c>
      <c r="G688" s="361" t="s">
        <v>1842</v>
      </c>
      <c r="H688" s="361" t="s">
        <v>28</v>
      </c>
      <c r="I688" s="35">
        <v>1024</v>
      </c>
      <c r="J688" s="349">
        <v>36.78</v>
      </c>
      <c r="K688" s="357">
        <f t="shared" si="31"/>
        <v>27.84121805328983</v>
      </c>
      <c r="L688" s="477">
        <v>60</v>
      </c>
      <c r="M688" s="343">
        <f t="shared" si="32"/>
        <v>8.533333333333333</v>
      </c>
      <c r="N688" s="344">
        <f ca="1" t="shared" si="30"/>
        <v>140</v>
      </c>
      <c r="O688" s="33">
        <v>1</v>
      </c>
      <c r="P688" s="345" t="s">
        <v>100</v>
      </c>
    </row>
    <row r="689" spans="2:16" ht="39.75" customHeight="1">
      <c r="B689" s="359">
        <v>40359</v>
      </c>
      <c r="C689" s="345" t="s">
        <v>98</v>
      </c>
      <c r="D689" s="2" t="s">
        <v>1225</v>
      </c>
      <c r="E689" s="364" t="s">
        <v>101</v>
      </c>
      <c r="F689" s="361" t="s">
        <v>42</v>
      </c>
      <c r="G689" s="361" t="s">
        <v>1842</v>
      </c>
      <c r="H689" s="361" t="s">
        <v>28</v>
      </c>
      <c r="I689" s="35">
        <v>1024</v>
      </c>
      <c r="J689" s="349">
        <v>36.78</v>
      </c>
      <c r="K689" s="357">
        <f t="shared" si="31"/>
        <v>27.84121805328983</v>
      </c>
      <c r="L689" s="477">
        <v>60</v>
      </c>
      <c r="M689" s="343">
        <f t="shared" si="32"/>
        <v>8.533333333333333</v>
      </c>
      <c r="N689" s="344">
        <f ca="1" t="shared" si="30"/>
        <v>140</v>
      </c>
      <c r="O689" s="33">
        <v>1</v>
      </c>
      <c r="P689" s="345" t="s">
        <v>100</v>
      </c>
    </row>
    <row r="690" spans="2:16" ht="39.75" customHeight="1">
      <c r="B690" s="359">
        <v>40359</v>
      </c>
      <c r="C690" s="345" t="s">
        <v>98</v>
      </c>
      <c r="D690" s="2" t="s">
        <v>1226</v>
      </c>
      <c r="E690" s="364" t="s">
        <v>101</v>
      </c>
      <c r="F690" s="361" t="s">
        <v>42</v>
      </c>
      <c r="G690" s="361" t="s">
        <v>1842</v>
      </c>
      <c r="H690" s="361" t="s">
        <v>28</v>
      </c>
      <c r="I690" s="35">
        <v>1024</v>
      </c>
      <c r="J690" s="349">
        <v>36.78</v>
      </c>
      <c r="K690" s="357">
        <f t="shared" si="31"/>
        <v>27.84121805328983</v>
      </c>
      <c r="L690" s="477">
        <v>60</v>
      </c>
      <c r="M690" s="343">
        <f t="shared" si="32"/>
        <v>8.533333333333333</v>
      </c>
      <c r="N690" s="344">
        <f ca="1" t="shared" si="30"/>
        <v>140</v>
      </c>
      <c r="O690" s="33">
        <v>1</v>
      </c>
      <c r="P690" s="345" t="s">
        <v>100</v>
      </c>
    </row>
    <row r="691" spans="2:16" ht="39.75" customHeight="1">
      <c r="B691" s="359">
        <v>40364</v>
      </c>
      <c r="C691" s="345" t="s">
        <v>102</v>
      </c>
      <c r="D691" s="2" t="s">
        <v>1237</v>
      </c>
      <c r="E691" s="364" t="s">
        <v>103</v>
      </c>
      <c r="F691" s="361" t="s">
        <v>104</v>
      </c>
      <c r="G691" s="361" t="s">
        <v>1846</v>
      </c>
      <c r="H691" s="361" t="s">
        <v>28</v>
      </c>
      <c r="I691" s="35">
        <v>17740.81</v>
      </c>
      <c r="J691" s="349">
        <v>36.76</v>
      </c>
      <c r="K691" s="357">
        <f t="shared" si="31"/>
        <v>482.6118063112079</v>
      </c>
      <c r="L691" s="477">
        <v>60</v>
      </c>
      <c r="M691" s="343">
        <f t="shared" si="32"/>
        <v>295.6801666666667</v>
      </c>
      <c r="N691" s="344">
        <f ca="1" t="shared" si="30"/>
        <v>140</v>
      </c>
      <c r="O691" s="33">
        <v>1</v>
      </c>
      <c r="P691" s="340" t="s">
        <v>100</v>
      </c>
    </row>
    <row r="692" spans="2:16" ht="39.75" customHeight="1">
      <c r="B692" s="359">
        <v>40364</v>
      </c>
      <c r="C692" s="345" t="s">
        <v>102</v>
      </c>
      <c r="D692" s="2" t="s">
        <v>1249</v>
      </c>
      <c r="E692" s="364" t="s">
        <v>105</v>
      </c>
      <c r="F692" s="361" t="s">
        <v>106</v>
      </c>
      <c r="G692" s="361" t="s">
        <v>1845</v>
      </c>
      <c r="H692" s="361" t="s">
        <v>28</v>
      </c>
      <c r="I692" s="35">
        <v>26377.75</v>
      </c>
      <c r="J692" s="349">
        <v>36.76</v>
      </c>
      <c r="K692" s="357">
        <f t="shared" si="31"/>
        <v>717.566648531012</v>
      </c>
      <c r="L692" s="477">
        <v>60</v>
      </c>
      <c r="M692" s="343">
        <f t="shared" si="32"/>
        <v>439.62916666666666</v>
      </c>
      <c r="N692" s="344">
        <f ca="1" t="shared" si="30"/>
        <v>140</v>
      </c>
      <c r="O692" s="33">
        <v>1</v>
      </c>
      <c r="P692" s="345" t="s">
        <v>193</v>
      </c>
    </row>
    <row r="693" spans="2:16" ht="39.75" customHeight="1">
      <c r="B693" s="25">
        <v>40364</v>
      </c>
      <c r="C693" s="340" t="s">
        <v>107</v>
      </c>
      <c r="D693" s="2" t="s">
        <v>1786</v>
      </c>
      <c r="E693" s="1" t="s">
        <v>321</v>
      </c>
      <c r="F693" s="2" t="s">
        <v>42</v>
      </c>
      <c r="G693" s="2" t="s">
        <v>50</v>
      </c>
      <c r="H693" s="2" t="s">
        <v>437</v>
      </c>
      <c r="I693" s="363">
        <v>14160</v>
      </c>
      <c r="J693" s="349">
        <v>36.76</v>
      </c>
      <c r="K693" s="357">
        <f t="shared" si="31"/>
        <v>385.2013057671382</v>
      </c>
      <c r="L693" s="476">
        <v>60</v>
      </c>
      <c r="M693" s="343">
        <f t="shared" si="32"/>
        <v>118</v>
      </c>
      <c r="N693" s="344">
        <f ca="1" t="shared" si="30"/>
        <v>140</v>
      </c>
      <c r="O693" s="33">
        <v>1</v>
      </c>
      <c r="P693" s="345" t="s">
        <v>193</v>
      </c>
    </row>
    <row r="694" spans="2:16" ht="39.75" customHeight="1">
      <c r="B694" s="25">
        <v>40379</v>
      </c>
      <c r="C694" s="340" t="s">
        <v>323</v>
      </c>
      <c r="D694" s="2" t="s">
        <v>1778</v>
      </c>
      <c r="E694" s="1" t="s">
        <v>324</v>
      </c>
      <c r="F694" s="2" t="s">
        <v>654</v>
      </c>
      <c r="G694" s="2" t="s">
        <v>81</v>
      </c>
      <c r="H694" s="2" t="s">
        <v>437</v>
      </c>
      <c r="I694" s="363">
        <v>50740.94</v>
      </c>
      <c r="J694" s="347">
        <v>36.8</v>
      </c>
      <c r="K694" s="357">
        <f t="shared" si="31"/>
        <v>1378.829891304348</v>
      </c>
      <c r="L694" s="476">
        <v>60</v>
      </c>
      <c r="M694" s="343">
        <f t="shared" si="32"/>
        <v>845.6823333333334</v>
      </c>
      <c r="N694" s="344">
        <f ca="1" t="shared" si="30"/>
        <v>140</v>
      </c>
      <c r="O694" s="33">
        <v>1</v>
      </c>
      <c r="P694" s="340" t="s">
        <v>325</v>
      </c>
    </row>
    <row r="695" spans="1:16" ht="39.75" customHeight="1">
      <c r="A695" s="380"/>
      <c r="B695" s="634">
        <v>40380</v>
      </c>
      <c r="C695" s="627" t="s">
        <v>426</v>
      </c>
      <c r="D695" s="635" t="s">
        <v>1793</v>
      </c>
      <c r="E695" s="645" t="s">
        <v>427</v>
      </c>
      <c r="F695" s="635" t="s">
        <v>428</v>
      </c>
      <c r="G695" s="635" t="s">
        <v>429</v>
      </c>
      <c r="H695" s="635" t="s">
        <v>437</v>
      </c>
      <c r="I695" s="646">
        <v>801208.86</v>
      </c>
      <c r="J695" s="647">
        <v>36.7527</v>
      </c>
      <c r="K695" s="639">
        <f t="shared" si="31"/>
        <v>21800</v>
      </c>
      <c r="L695" s="640">
        <v>60</v>
      </c>
      <c r="M695" s="630">
        <f t="shared" si="32"/>
        <v>13353.481</v>
      </c>
      <c r="N695" s="618">
        <f ca="1" t="shared" si="30"/>
        <v>140</v>
      </c>
      <c r="O695" s="644">
        <v>1</v>
      </c>
      <c r="P695" s="627" t="s">
        <v>430</v>
      </c>
    </row>
    <row r="696" spans="2:16" ht="39.75" customHeight="1">
      <c r="B696" s="359">
        <v>40402</v>
      </c>
      <c r="C696" s="345" t="s">
        <v>431</v>
      </c>
      <c r="D696" s="2" t="s">
        <v>1238</v>
      </c>
      <c r="E696" s="364" t="s">
        <v>432</v>
      </c>
      <c r="F696" s="361" t="s">
        <v>42</v>
      </c>
      <c r="G696" s="361" t="s">
        <v>824</v>
      </c>
      <c r="H696" s="361" t="s">
        <v>28</v>
      </c>
      <c r="I696" s="35">
        <v>4375</v>
      </c>
      <c r="J696" s="349">
        <v>36.91</v>
      </c>
      <c r="K696" s="357">
        <f t="shared" si="31"/>
        <v>118.53156326198864</v>
      </c>
      <c r="L696" s="477">
        <v>60</v>
      </c>
      <c r="M696" s="343">
        <f t="shared" si="32"/>
        <v>72.91666666666667</v>
      </c>
      <c r="N696" s="344">
        <f ca="1" t="shared" si="30"/>
        <v>139</v>
      </c>
      <c r="O696" s="33">
        <v>1</v>
      </c>
      <c r="P696" s="345" t="s">
        <v>433</v>
      </c>
    </row>
    <row r="697" spans="2:16" ht="39.75" customHeight="1">
      <c r="B697" s="359">
        <v>40402</v>
      </c>
      <c r="C697" s="345" t="s">
        <v>431</v>
      </c>
      <c r="D697" s="2" t="s">
        <v>1240</v>
      </c>
      <c r="E697" s="364" t="s">
        <v>432</v>
      </c>
      <c r="F697" s="361" t="s">
        <v>42</v>
      </c>
      <c r="G697" s="361" t="s">
        <v>1848</v>
      </c>
      <c r="H697" s="361" t="s">
        <v>28</v>
      </c>
      <c r="I697" s="35">
        <v>4375</v>
      </c>
      <c r="J697" s="349">
        <v>36.91</v>
      </c>
      <c r="K697" s="357">
        <f t="shared" si="31"/>
        <v>118.53156326198864</v>
      </c>
      <c r="L697" s="477">
        <v>60</v>
      </c>
      <c r="M697" s="343">
        <f t="shared" si="32"/>
        <v>72.91666666666667</v>
      </c>
      <c r="N697" s="344">
        <f ca="1" t="shared" si="30"/>
        <v>139</v>
      </c>
      <c r="O697" s="33">
        <v>1</v>
      </c>
      <c r="P697" s="345" t="s">
        <v>433</v>
      </c>
    </row>
    <row r="698" spans="2:16" ht="39.75" customHeight="1">
      <c r="B698" s="359">
        <v>40402</v>
      </c>
      <c r="C698" s="345" t="s">
        <v>431</v>
      </c>
      <c r="D698" s="2" t="s">
        <v>1239</v>
      </c>
      <c r="E698" s="364" t="s">
        <v>432</v>
      </c>
      <c r="F698" s="361" t="s">
        <v>42</v>
      </c>
      <c r="G698" s="361" t="s">
        <v>824</v>
      </c>
      <c r="H698" s="361" t="s">
        <v>28</v>
      </c>
      <c r="I698" s="35">
        <v>4375</v>
      </c>
      <c r="J698" s="349">
        <v>36.91</v>
      </c>
      <c r="K698" s="357">
        <f t="shared" si="31"/>
        <v>118.53156326198864</v>
      </c>
      <c r="L698" s="477">
        <v>60</v>
      </c>
      <c r="M698" s="343">
        <f t="shared" si="32"/>
        <v>72.91666666666667</v>
      </c>
      <c r="N698" s="344">
        <f ca="1" t="shared" si="30"/>
        <v>139</v>
      </c>
      <c r="O698" s="33">
        <v>1</v>
      </c>
      <c r="P698" s="345" t="s">
        <v>433</v>
      </c>
    </row>
    <row r="699" spans="2:16" ht="39.75" customHeight="1">
      <c r="B699" s="25">
        <v>40421</v>
      </c>
      <c r="C699" s="340" t="s">
        <v>434</v>
      </c>
      <c r="D699" s="2" t="s">
        <v>1713</v>
      </c>
      <c r="E699" s="1" t="s">
        <v>435</v>
      </c>
      <c r="F699" s="2">
        <v>41089908</v>
      </c>
      <c r="G699" s="2" t="s">
        <v>821</v>
      </c>
      <c r="H699" s="2" t="s">
        <v>249</v>
      </c>
      <c r="I699" s="363">
        <v>561080.64</v>
      </c>
      <c r="J699" s="349">
        <v>36.91</v>
      </c>
      <c r="K699" s="357">
        <f t="shared" si="31"/>
        <v>15201.317800054188</v>
      </c>
      <c r="L699" s="476">
        <v>60</v>
      </c>
      <c r="M699" s="343">
        <f t="shared" si="32"/>
        <v>9351.344000000001</v>
      </c>
      <c r="N699" s="344">
        <f ca="1" t="shared" si="30"/>
        <v>138</v>
      </c>
      <c r="O699" s="33">
        <v>1</v>
      </c>
      <c r="P699" s="340" t="s">
        <v>436</v>
      </c>
    </row>
    <row r="700" spans="2:16" ht="39.75" customHeight="1">
      <c r="B700" s="25">
        <v>40441</v>
      </c>
      <c r="C700" s="340" t="s">
        <v>130</v>
      </c>
      <c r="D700" s="2" t="s">
        <v>1782</v>
      </c>
      <c r="E700" s="1" t="s">
        <v>185</v>
      </c>
      <c r="F700" s="2" t="s">
        <v>42</v>
      </c>
      <c r="G700" s="2" t="s">
        <v>452</v>
      </c>
      <c r="H700" s="2" t="s">
        <v>437</v>
      </c>
      <c r="I700" s="363">
        <v>7584.05</v>
      </c>
      <c r="J700" s="347">
        <v>36.97</v>
      </c>
      <c r="K700" s="357">
        <f t="shared" si="31"/>
        <v>205.14065458479848</v>
      </c>
      <c r="L700" s="476">
        <v>60</v>
      </c>
      <c r="M700" s="343">
        <f t="shared" si="32"/>
        <v>126.40083333333334</v>
      </c>
      <c r="N700" s="344">
        <f ca="1" t="shared" si="30"/>
        <v>137</v>
      </c>
      <c r="O700" s="33">
        <v>-821.6054166666663</v>
      </c>
      <c r="P700" s="340" t="s">
        <v>85</v>
      </c>
    </row>
    <row r="701" spans="2:16" ht="39.75" customHeight="1">
      <c r="B701" s="25">
        <v>40441</v>
      </c>
      <c r="C701" s="340" t="s">
        <v>130</v>
      </c>
      <c r="D701" s="2" t="s">
        <v>1783</v>
      </c>
      <c r="E701" s="1" t="s">
        <v>185</v>
      </c>
      <c r="F701" s="2" t="s">
        <v>42</v>
      </c>
      <c r="G701" s="2" t="s">
        <v>452</v>
      </c>
      <c r="H701" s="2" t="s">
        <v>437</v>
      </c>
      <c r="I701" s="363">
        <v>7584.05</v>
      </c>
      <c r="J701" s="347">
        <v>36.97</v>
      </c>
      <c r="K701" s="357">
        <f t="shared" si="31"/>
        <v>205.14065458479848</v>
      </c>
      <c r="L701" s="476">
        <v>60</v>
      </c>
      <c r="M701" s="343">
        <f t="shared" si="32"/>
        <v>126.40083333333334</v>
      </c>
      <c r="N701" s="344">
        <f ca="1" t="shared" si="30"/>
        <v>137</v>
      </c>
      <c r="O701" s="33">
        <v>-821.6054166666663</v>
      </c>
      <c r="P701" s="340" t="s">
        <v>85</v>
      </c>
    </row>
    <row r="702" spans="2:16" ht="39.75" customHeight="1">
      <c r="B702" s="25">
        <v>40450</v>
      </c>
      <c r="C702" s="340" t="s">
        <v>186</v>
      </c>
      <c r="D702" s="2" t="s">
        <v>1698</v>
      </c>
      <c r="E702" s="1" t="s">
        <v>304</v>
      </c>
      <c r="F702" s="2" t="s">
        <v>305</v>
      </c>
      <c r="G702" s="2" t="s">
        <v>821</v>
      </c>
      <c r="H702" s="2" t="s">
        <v>249</v>
      </c>
      <c r="I702" s="363">
        <v>48000</v>
      </c>
      <c r="J702" s="347">
        <v>36.95</v>
      </c>
      <c r="K702" s="357">
        <f t="shared" si="31"/>
        <v>1299.0527740189443</v>
      </c>
      <c r="L702" s="476">
        <v>60</v>
      </c>
      <c r="M702" s="343">
        <f t="shared" si="32"/>
        <v>800</v>
      </c>
      <c r="N702" s="344">
        <f ca="1" t="shared" si="30"/>
        <v>137</v>
      </c>
      <c r="O702" s="33">
        <v>-5200</v>
      </c>
      <c r="P702" s="340" t="s">
        <v>189</v>
      </c>
    </row>
    <row r="703" spans="2:16" ht="39.75" customHeight="1">
      <c r="B703" s="25">
        <v>40450</v>
      </c>
      <c r="C703" s="340" t="s">
        <v>186</v>
      </c>
      <c r="D703" s="2" t="s">
        <v>1699</v>
      </c>
      <c r="E703" s="1" t="s">
        <v>3650</v>
      </c>
      <c r="F703" s="2" t="s">
        <v>42</v>
      </c>
      <c r="G703" s="2" t="s">
        <v>821</v>
      </c>
      <c r="H703" s="2" t="s">
        <v>249</v>
      </c>
      <c r="I703" s="363">
        <v>22500</v>
      </c>
      <c r="J703" s="347">
        <v>36.95</v>
      </c>
      <c r="K703" s="357">
        <f t="shared" si="31"/>
        <v>608.9309878213802</v>
      </c>
      <c r="L703" s="476">
        <v>60</v>
      </c>
      <c r="M703" s="343">
        <f t="shared" si="32"/>
        <v>375</v>
      </c>
      <c r="N703" s="344">
        <f ca="1" t="shared" si="30"/>
        <v>137</v>
      </c>
      <c r="O703" s="33">
        <v>-2437.5</v>
      </c>
      <c r="P703" s="340" t="s">
        <v>189</v>
      </c>
    </row>
    <row r="704" spans="2:16" ht="39.75" customHeight="1">
      <c r="B704" s="25">
        <v>40450</v>
      </c>
      <c r="C704" s="340" t="s">
        <v>186</v>
      </c>
      <c r="D704" s="2" t="s">
        <v>1700</v>
      </c>
      <c r="E704" s="1" t="s">
        <v>3650</v>
      </c>
      <c r="F704" s="2" t="s">
        <v>42</v>
      </c>
      <c r="G704" s="2" t="s">
        <v>821</v>
      </c>
      <c r="H704" s="2" t="s">
        <v>249</v>
      </c>
      <c r="I704" s="363">
        <v>22500</v>
      </c>
      <c r="J704" s="347">
        <v>36.95</v>
      </c>
      <c r="K704" s="357">
        <f t="shared" si="31"/>
        <v>608.9309878213802</v>
      </c>
      <c r="L704" s="476">
        <v>60</v>
      </c>
      <c r="M704" s="343">
        <f t="shared" si="32"/>
        <v>375</v>
      </c>
      <c r="N704" s="344">
        <f ca="1" t="shared" si="30"/>
        <v>137</v>
      </c>
      <c r="O704" s="33">
        <v>-2437.5</v>
      </c>
      <c r="P704" s="340" t="s">
        <v>189</v>
      </c>
    </row>
    <row r="705" spans="2:16" ht="39.75" customHeight="1">
      <c r="B705" s="25">
        <v>40450</v>
      </c>
      <c r="C705" s="340" t="s">
        <v>186</v>
      </c>
      <c r="D705" s="2" t="s">
        <v>1701</v>
      </c>
      <c r="E705" s="1" t="s">
        <v>3650</v>
      </c>
      <c r="F705" s="2" t="s">
        <v>42</v>
      </c>
      <c r="G705" s="2" t="s">
        <v>821</v>
      </c>
      <c r="H705" s="2" t="s">
        <v>249</v>
      </c>
      <c r="I705" s="363">
        <v>22500</v>
      </c>
      <c r="J705" s="347">
        <v>36.95</v>
      </c>
      <c r="K705" s="357">
        <f t="shared" si="31"/>
        <v>608.9309878213802</v>
      </c>
      <c r="L705" s="476">
        <v>60</v>
      </c>
      <c r="M705" s="343">
        <f t="shared" si="32"/>
        <v>375</v>
      </c>
      <c r="N705" s="344">
        <f ca="1" t="shared" si="30"/>
        <v>137</v>
      </c>
      <c r="O705" s="33">
        <v>-2437.5</v>
      </c>
      <c r="P705" s="340" t="s">
        <v>189</v>
      </c>
    </row>
    <row r="706" spans="2:16" ht="39.75" customHeight="1">
      <c r="B706" s="25">
        <v>40450</v>
      </c>
      <c r="C706" s="340" t="s">
        <v>186</v>
      </c>
      <c r="D706" s="2" t="s">
        <v>1704</v>
      </c>
      <c r="E706" s="1" t="s">
        <v>191</v>
      </c>
      <c r="F706" s="2" t="s">
        <v>42</v>
      </c>
      <c r="G706" s="2" t="s">
        <v>821</v>
      </c>
      <c r="H706" s="2" t="s">
        <v>249</v>
      </c>
      <c r="I706" s="363">
        <v>57300</v>
      </c>
      <c r="J706" s="347">
        <v>36.95</v>
      </c>
      <c r="K706" s="357">
        <f t="shared" si="31"/>
        <v>1550.7442489851148</v>
      </c>
      <c r="L706" s="476">
        <v>60</v>
      </c>
      <c r="M706" s="343">
        <f t="shared" si="32"/>
        <v>955</v>
      </c>
      <c r="N706" s="344">
        <f ca="1" t="shared" si="30"/>
        <v>137</v>
      </c>
      <c r="O706" s="33">
        <v>-6207.5</v>
      </c>
      <c r="P706" s="340" t="s">
        <v>189</v>
      </c>
    </row>
    <row r="707" spans="2:16" ht="39.75" customHeight="1">
      <c r="B707" s="25">
        <v>40450</v>
      </c>
      <c r="C707" s="340" t="s">
        <v>186</v>
      </c>
      <c r="D707" s="2" t="s">
        <v>1714</v>
      </c>
      <c r="E707" s="1" t="s">
        <v>306</v>
      </c>
      <c r="F707" s="2" t="s">
        <v>307</v>
      </c>
      <c r="G707" s="2" t="s">
        <v>821</v>
      </c>
      <c r="H707" s="2" t="s">
        <v>249</v>
      </c>
      <c r="I707" s="363">
        <v>5500</v>
      </c>
      <c r="J707" s="347">
        <v>36.95</v>
      </c>
      <c r="K707" s="357">
        <f t="shared" si="31"/>
        <v>148.84979702300404</v>
      </c>
      <c r="L707" s="476">
        <v>60</v>
      </c>
      <c r="M707" s="343">
        <f t="shared" si="32"/>
        <v>91.66666666666667</v>
      </c>
      <c r="N707" s="344">
        <f ca="1" t="shared" si="30"/>
        <v>137</v>
      </c>
      <c r="O707" s="33">
        <v>-595.8333333333339</v>
      </c>
      <c r="P707" s="340" t="s">
        <v>189</v>
      </c>
    </row>
    <row r="708" spans="2:16" ht="39.75" customHeight="1">
      <c r="B708" s="25">
        <v>40450</v>
      </c>
      <c r="C708" s="340" t="s">
        <v>186</v>
      </c>
      <c r="D708" s="2" t="s">
        <v>1705</v>
      </c>
      <c r="E708" s="1" t="s">
        <v>187</v>
      </c>
      <c r="F708" s="2" t="s">
        <v>188</v>
      </c>
      <c r="G708" s="2" t="s">
        <v>821</v>
      </c>
      <c r="H708" s="2" t="s">
        <v>249</v>
      </c>
      <c r="I708" s="363">
        <v>42000</v>
      </c>
      <c r="J708" s="347">
        <v>36.95</v>
      </c>
      <c r="K708" s="357">
        <f t="shared" si="31"/>
        <v>1136.6711772665765</v>
      </c>
      <c r="L708" s="476">
        <v>60</v>
      </c>
      <c r="M708" s="343">
        <f t="shared" si="32"/>
        <v>700</v>
      </c>
      <c r="N708" s="344">
        <f ca="1" t="shared" si="30"/>
        <v>137</v>
      </c>
      <c r="O708" s="33">
        <v>-4550</v>
      </c>
      <c r="P708" s="340" t="s">
        <v>189</v>
      </c>
    </row>
    <row r="709" spans="2:16" ht="39.75" customHeight="1">
      <c r="B709" s="25">
        <v>40450</v>
      </c>
      <c r="C709" s="340" t="s">
        <v>186</v>
      </c>
      <c r="D709" s="2" t="s">
        <v>1706</v>
      </c>
      <c r="E709" s="1" t="s">
        <v>187</v>
      </c>
      <c r="F709" s="2" t="s">
        <v>190</v>
      </c>
      <c r="G709" s="2" t="s">
        <v>821</v>
      </c>
      <c r="H709" s="2" t="s">
        <v>249</v>
      </c>
      <c r="I709" s="363">
        <v>42000</v>
      </c>
      <c r="J709" s="347">
        <v>36.95</v>
      </c>
      <c r="K709" s="357">
        <f t="shared" si="31"/>
        <v>1136.6711772665765</v>
      </c>
      <c r="L709" s="476">
        <v>60</v>
      </c>
      <c r="M709" s="343">
        <f t="shared" si="32"/>
        <v>700</v>
      </c>
      <c r="N709" s="344">
        <f ca="1" t="shared" si="30"/>
        <v>137</v>
      </c>
      <c r="O709" s="33">
        <v>-4550</v>
      </c>
      <c r="P709" s="340" t="s">
        <v>189</v>
      </c>
    </row>
    <row r="710" spans="2:16" ht="39.75" customHeight="1">
      <c r="B710" s="25">
        <v>40506</v>
      </c>
      <c r="C710" s="340" t="s">
        <v>308</v>
      </c>
      <c r="D710" s="2" t="s">
        <v>1784</v>
      </c>
      <c r="E710" s="1" t="s">
        <v>84</v>
      </c>
      <c r="F710" s="2" t="s">
        <v>42</v>
      </c>
      <c r="G710" s="2" t="s">
        <v>615</v>
      </c>
      <c r="H710" s="2" t="s">
        <v>437</v>
      </c>
      <c r="I710" s="363">
        <v>7584.05</v>
      </c>
      <c r="J710" s="347">
        <v>37.24</v>
      </c>
      <c r="K710" s="357">
        <f t="shared" si="31"/>
        <v>203.6533297529538</v>
      </c>
      <c r="L710" s="476">
        <v>60</v>
      </c>
      <c r="M710" s="343">
        <f t="shared" si="32"/>
        <v>126.40083333333334</v>
      </c>
      <c r="N710" s="344">
        <f ca="1" t="shared" si="30"/>
        <v>135</v>
      </c>
      <c r="O710" s="33">
        <v>-695.2045833333332</v>
      </c>
      <c r="P710" s="340" t="s">
        <v>85</v>
      </c>
    </row>
    <row r="711" spans="2:16" ht="39.75" customHeight="1">
      <c r="B711" s="25">
        <v>40506</v>
      </c>
      <c r="C711" s="340" t="s">
        <v>308</v>
      </c>
      <c r="D711" s="2" t="s">
        <v>1785</v>
      </c>
      <c r="E711" s="1" t="s">
        <v>84</v>
      </c>
      <c r="F711" s="2" t="s">
        <v>42</v>
      </c>
      <c r="G711" s="2" t="s">
        <v>615</v>
      </c>
      <c r="H711" s="2" t="s">
        <v>437</v>
      </c>
      <c r="I711" s="363">
        <v>7584.05</v>
      </c>
      <c r="J711" s="347">
        <v>37.24</v>
      </c>
      <c r="K711" s="357">
        <f t="shared" si="31"/>
        <v>203.6533297529538</v>
      </c>
      <c r="L711" s="476">
        <v>60</v>
      </c>
      <c r="M711" s="343">
        <f t="shared" si="32"/>
        <v>126.40083333333334</v>
      </c>
      <c r="N711" s="344">
        <f ca="1" t="shared" si="30"/>
        <v>135</v>
      </c>
      <c r="O711" s="33">
        <v>-695.2045833333332</v>
      </c>
      <c r="P711" s="340" t="s">
        <v>85</v>
      </c>
    </row>
    <row r="712" spans="2:16" ht="39.75" customHeight="1">
      <c r="B712" s="25">
        <v>40582</v>
      </c>
      <c r="C712" s="340" t="s">
        <v>212</v>
      </c>
      <c r="D712" s="2" t="s">
        <v>1779</v>
      </c>
      <c r="E712" s="1" t="s">
        <v>213</v>
      </c>
      <c r="F712" s="17" t="s">
        <v>647</v>
      </c>
      <c r="G712" s="2" t="s">
        <v>81</v>
      </c>
      <c r="H712" s="2" t="s">
        <v>437</v>
      </c>
      <c r="I712" s="363">
        <v>51577.599801000004</v>
      </c>
      <c r="J712" s="347">
        <v>37.52</v>
      </c>
      <c r="K712" s="357">
        <f t="shared" si="31"/>
        <v>1374.6695042910449</v>
      </c>
      <c r="L712" s="476">
        <v>60</v>
      </c>
      <c r="M712" s="343">
        <f t="shared" si="32"/>
        <v>859.6266633500001</v>
      </c>
      <c r="N712" s="344">
        <f aca="true" ca="1" t="shared" si="33" ref="N712:N775">IF(B712&lt;&gt;0,(ROUND((NOW()-B712)/30,0)),0)</f>
        <v>133</v>
      </c>
      <c r="O712" s="33">
        <v>-3868.3199850750025</v>
      </c>
      <c r="P712" s="340" t="s">
        <v>322</v>
      </c>
    </row>
    <row r="713" spans="2:16" ht="39.75" customHeight="1">
      <c r="B713" s="25">
        <v>40582</v>
      </c>
      <c r="C713" s="340" t="s">
        <v>212</v>
      </c>
      <c r="D713" s="2" t="s">
        <v>1780</v>
      </c>
      <c r="E713" s="1" t="s">
        <v>213</v>
      </c>
      <c r="F713" s="17" t="s">
        <v>214</v>
      </c>
      <c r="G713" s="2" t="s">
        <v>81</v>
      </c>
      <c r="H713" s="2" t="s">
        <v>437</v>
      </c>
      <c r="I713" s="363">
        <v>51577.599801000004</v>
      </c>
      <c r="J713" s="347">
        <v>37.52</v>
      </c>
      <c r="K713" s="357">
        <f aca="true" t="shared" si="34" ref="K713:K776">+I713/J713</f>
        <v>1374.6695042910449</v>
      </c>
      <c r="L713" s="476">
        <v>60</v>
      </c>
      <c r="M713" s="343">
        <f t="shared" si="32"/>
        <v>859.6266633500001</v>
      </c>
      <c r="N713" s="344">
        <f ca="1" t="shared" si="33"/>
        <v>133</v>
      </c>
      <c r="O713" s="33">
        <v>-3868.3199850750025</v>
      </c>
      <c r="P713" s="340" t="s">
        <v>322</v>
      </c>
    </row>
    <row r="714" spans="2:16" ht="39.75" customHeight="1">
      <c r="B714" s="25">
        <v>40582</v>
      </c>
      <c r="C714" s="340" t="s">
        <v>212</v>
      </c>
      <c r="D714" s="2" t="s">
        <v>1093</v>
      </c>
      <c r="E714" s="1" t="s">
        <v>213</v>
      </c>
      <c r="F714" s="17" t="s">
        <v>645</v>
      </c>
      <c r="G714" s="2" t="s">
        <v>821</v>
      </c>
      <c r="H714" s="2" t="s">
        <v>530</v>
      </c>
      <c r="I714" s="363">
        <v>51577.599801000004</v>
      </c>
      <c r="J714" s="347">
        <v>37.52</v>
      </c>
      <c r="K714" s="357">
        <f t="shared" si="34"/>
        <v>1374.6695042910449</v>
      </c>
      <c r="L714" s="476">
        <v>60</v>
      </c>
      <c r="M714" s="343">
        <f aca="true" t="shared" si="35" ref="M714:M777">+I714/L794</f>
        <v>859.6266633500001</v>
      </c>
      <c r="N714" s="344">
        <f ca="1" t="shared" si="33"/>
        <v>133</v>
      </c>
      <c r="O714" s="33">
        <v>-3868.3199850750025</v>
      </c>
      <c r="P714" s="340" t="s">
        <v>322</v>
      </c>
    </row>
    <row r="715" spans="2:16" ht="39.75" customHeight="1">
      <c r="B715" s="25">
        <v>40590</v>
      </c>
      <c r="C715" s="340" t="s">
        <v>215</v>
      </c>
      <c r="D715" s="2" t="s">
        <v>1092</v>
      </c>
      <c r="E715" s="1" t="s">
        <v>627</v>
      </c>
      <c r="F715" s="17" t="s">
        <v>216</v>
      </c>
      <c r="G715" s="2" t="s">
        <v>821</v>
      </c>
      <c r="H715" s="2" t="s">
        <v>530</v>
      </c>
      <c r="I715" s="363">
        <v>64872</v>
      </c>
      <c r="J715" s="347">
        <v>37.61</v>
      </c>
      <c r="K715" s="357">
        <f t="shared" si="34"/>
        <v>1724.8604094655677</v>
      </c>
      <c r="L715" s="476">
        <v>60</v>
      </c>
      <c r="M715" s="343">
        <f t="shared" si="35"/>
        <v>1081.2</v>
      </c>
      <c r="N715" s="344">
        <f ca="1" t="shared" si="33"/>
        <v>133</v>
      </c>
      <c r="O715" s="33">
        <v>-4324.800000000003</v>
      </c>
      <c r="P715" s="340" t="s">
        <v>62</v>
      </c>
    </row>
    <row r="716" spans="2:16" ht="39.75" customHeight="1">
      <c r="B716" s="25">
        <v>40590</v>
      </c>
      <c r="C716" s="340" t="s">
        <v>215</v>
      </c>
      <c r="D716" s="2" t="s">
        <v>1204</v>
      </c>
      <c r="E716" s="1" t="s">
        <v>627</v>
      </c>
      <c r="F716" s="17" t="s">
        <v>217</v>
      </c>
      <c r="G716" s="2" t="s">
        <v>821</v>
      </c>
      <c r="H716" s="2" t="s">
        <v>628</v>
      </c>
      <c r="I716" s="363">
        <v>64872</v>
      </c>
      <c r="J716" s="347">
        <v>37.61</v>
      </c>
      <c r="K716" s="357">
        <f t="shared" si="34"/>
        <v>1724.8604094655677</v>
      </c>
      <c r="L716" s="476">
        <v>60</v>
      </c>
      <c r="M716" s="343">
        <f t="shared" si="35"/>
        <v>1081.2</v>
      </c>
      <c r="N716" s="344">
        <f ca="1" t="shared" si="33"/>
        <v>133</v>
      </c>
      <c r="O716" s="33">
        <v>-4324.800000000003</v>
      </c>
      <c r="P716" s="340" t="s">
        <v>62</v>
      </c>
    </row>
    <row r="717" spans="2:16" ht="39.75" customHeight="1">
      <c r="B717" s="359">
        <v>40633</v>
      </c>
      <c r="C717" s="345" t="s">
        <v>218</v>
      </c>
      <c r="D717" s="2" t="s">
        <v>1241</v>
      </c>
      <c r="E717" s="364" t="s">
        <v>219</v>
      </c>
      <c r="F717" s="365" t="s">
        <v>42</v>
      </c>
      <c r="G717" s="361" t="s">
        <v>1848</v>
      </c>
      <c r="H717" s="361" t="s">
        <v>28</v>
      </c>
      <c r="I717" s="35">
        <v>5970</v>
      </c>
      <c r="J717" s="349">
        <v>37.95</v>
      </c>
      <c r="K717" s="357">
        <f t="shared" si="34"/>
        <v>157.31225296442688</v>
      </c>
      <c r="L717" s="477">
        <v>60</v>
      </c>
      <c r="M717" s="343">
        <f t="shared" si="35"/>
        <v>99.5</v>
      </c>
      <c r="N717" s="344">
        <f ca="1" t="shared" si="33"/>
        <v>131</v>
      </c>
      <c r="O717" s="33">
        <v>1</v>
      </c>
      <c r="P717" s="345" t="s">
        <v>220</v>
      </c>
    </row>
    <row r="718" spans="2:16" ht="39.75" customHeight="1">
      <c r="B718" s="359">
        <v>40633</v>
      </c>
      <c r="C718" s="345" t="s">
        <v>218</v>
      </c>
      <c r="D718" s="2" t="s">
        <v>1243</v>
      </c>
      <c r="E718" s="364" t="s">
        <v>219</v>
      </c>
      <c r="F718" s="365" t="s">
        <v>42</v>
      </c>
      <c r="G718" s="361" t="s">
        <v>1845</v>
      </c>
      <c r="H718" s="361" t="s">
        <v>28</v>
      </c>
      <c r="I718" s="35">
        <v>5970</v>
      </c>
      <c r="J718" s="349">
        <v>37.95</v>
      </c>
      <c r="K718" s="357">
        <f t="shared" si="34"/>
        <v>157.31225296442688</v>
      </c>
      <c r="L718" s="477">
        <v>60</v>
      </c>
      <c r="M718" s="343">
        <f t="shared" si="35"/>
        <v>99.5</v>
      </c>
      <c r="N718" s="344">
        <f ca="1" t="shared" si="33"/>
        <v>131</v>
      </c>
      <c r="O718" s="33">
        <v>1</v>
      </c>
      <c r="P718" s="345" t="s">
        <v>220</v>
      </c>
    </row>
    <row r="719" spans="2:16" ht="39.75" customHeight="1">
      <c r="B719" s="359">
        <v>40633</v>
      </c>
      <c r="C719" s="345" t="s">
        <v>218</v>
      </c>
      <c r="D719" s="2" t="s">
        <v>1244</v>
      </c>
      <c r="E719" s="364" t="s">
        <v>219</v>
      </c>
      <c r="F719" s="365" t="s">
        <v>42</v>
      </c>
      <c r="G719" s="361" t="s">
        <v>1845</v>
      </c>
      <c r="H719" s="361" t="s">
        <v>28</v>
      </c>
      <c r="I719" s="35">
        <v>5970</v>
      </c>
      <c r="J719" s="349">
        <v>37.95</v>
      </c>
      <c r="K719" s="357">
        <f t="shared" si="34"/>
        <v>157.31225296442688</v>
      </c>
      <c r="L719" s="477">
        <v>60</v>
      </c>
      <c r="M719" s="343">
        <f t="shared" si="35"/>
        <v>99.5</v>
      </c>
      <c r="N719" s="344">
        <f ca="1" t="shared" si="33"/>
        <v>131</v>
      </c>
      <c r="O719" s="33">
        <v>1</v>
      </c>
      <c r="P719" s="345" t="s">
        <v>220</v>
      </c>
    </row>
    <row r="720" spans="2:16" ht="39.75" customHeight="1">
      <c r="B720" s="359">
        <v>40633</v>
      </c>
      <c r="C720" s="345" t="s">
        <v>218</v>
      </c>
      <c r="D720" s="2" t="s">
        <v>1242</v>
      </c>
      <c r="E720" s="364" t="s">
        <v>219</v>
      </c>
      <c r="F720" s="365" t="s">
        <v>42</v>
      </c>
      <c r="G720" s="361" t="s">
        <v>1841</v>
      </c>
      <c r="H720" s="361" t="s">
        <v>28</v>
      </c>
      <c r="I720" s="35">
        <v>5970</v>
      </c>
      <c r="J720" s="349">
        <v>37.95</v>
      </c>
      <c r="K720" s="357">
        <f t="shared" si="34"/>
        <v>157.31225296442688</v>
      </c>
      <c r="L720" s="477">
        <v>60</v>
      </c>
      <c r="M720" s="343">
        <f t="shared" si="35"/>
        <v>99.5</v>
      </c>
      <c r="N720" s="344">
        <f ca="1" t="shared" si="33"/>
        <v>131</v>
      </c>
      <c r="O720" s="33">
        <v>1</v>
      </c>
      <c r="P720" s="345" t="s">
        <v>220</v>
      </c>
    </row>
    <row r="721" spans="2:16" ht="39.75" customHeight="1">
      <c r="B721" s="359">
        <v>40640</v>
      </c>
      <c r="C721" s="345" t="s">
        <v>222</v>
      </c>
      <c r="D721" s="2" t="s">
        <v>1245</v>
      </c>
      <c r="E721" s="364" t="s">
        <v>223</v>
      </c>
      <c r="F721" s="365" t="s">
        <v>42</v>
      </c>
      <c r="G721" s="361" t="s">
        <v>1842</v>
      </c>
      <c r="H721" s="361" t="s">
        <v>28</v>
      </c>
      <c r="I721" s="35">
        <v>7462.5</v>
      </c>
      <c r="J721" s="349">
        <v>37.94</v>
      </c>
      <c r="K721" s="357">
        <f t="shared" si="34"/>
        <v>196.69214549288353</v>
      </c>
      <c r="L721" s="477">
        <v>60</v>
      </c>
      <c r="M721" s="343">
        <f t="shared" si="35"/>
        <v>124.375</v>
      </c>
      <c r="N721" s="344">
        <f ca="1" t="shared" si="33"/>
        <v>131</v>
      </c>
      <c r="O721" s="33">
        <v>1</v>
      </c>
      <c r="P721" s="345" t="s">
        <v>224</v>
      </c>
    </row>
    <row r="722" spans="2:16" ht="39.75" customHeight="1">
      <c r="B722" s="25">
        <v>40653</v>
      </c>
      <c r="C722" s="340" t="s">
        <v>226</v>
      </c>
      <c r="D722" s="2" t="s">
        <v>1250</v>
      </c>
      <c r="E722" s="1" t="s">
        <v>227</v>
      </c>
      <c r="F722" s="17" t="s">
        <v>228</v>
      </c>
      <c r="G722" s="2" t="s">
        <v>1849</v>
      </c>
      <c r="H722" s="2" t="s">
        <v>225</v>
      </c>
      <c r="I722" s="363">
        <v>5100</v>
      </c>
      <c r="J722" s="347">
        <v>37.84</v>
      </c>
      <c r="K722" s="357">
        <f t="shared" si="34"/>
        <v>134.77801268498942</v>
      </c>
      <c r="L722" s="476">
        <v>60</v>
      </c>
      <c r="M722" s="343">
        <f t="shared" si="35"/>
        <v>85</v>
      </c>
      <c r="N722" s="344">
        <f ca="1" t="shared" si="33"/>
        <v>130</v>
      </c>
      <c r="O722" s="33">
        <v>-255</v>
      </c>
      <c r="P722" s="340" t="s">
        <v>229</v>
      </c>
    </row>
    <row r="723" spans="2:16" ht="39.75" customHeight="1">
      <c r="B723" s="25">
        <v>40661</v>
      </c>
      <c r="C723" s="340" t="s">
        <v>230</v>
      </c>
      <c r="D723" s="2" t="s">
        <v>1251</v>
      </c>
      <c r="E723" s="1" t="s">
        <v>231</v>
      </c>
      <c r="F723" s="17" t="s">
        <v>807</v>
      </c>
      <c r="G723" s="2" t="s">
        <v>1849</v>
      </c>
      <c r="H723" s="2" t="s">
        <v>225</v>
      </c>
      <c r="I723" s="363">
        <v>22745.999999999996</v>
      </c>
      <c r="J723" s="347">
        <v>37.91</v>
      </c>
      <c r="K723" s="357">
        <f t="shared" si="34"/>
        <v>600</v>
      </c>
      <c r="L723" s="476">
        <v>60</v>
      </c>
      <c r="M723" s="343">
        <f t="shared" si="35"/>
        <v>379.09999999999997</v>
      </c>
      <c r="N723" s="344">
        <f ca="1" t="shared" si="33"/>
        <v>130</v>
      </c>
      <c r="O723" s="33">
        <v>-1137.300000000003</v>
      </c>
      <c r="P723" s="340" t="s">
        <v>232</v>
      </c>
    </row>
    <row r="724" spans="2:16" ht="39.75" customHeight="1">
      <c r="B724" s="25">
        <v>40662</v>
      </c>
      <c r="C724" s="340" t="s">
        <v>233</v>
      </c>
      <c r="D724" s="2" t="s">
        <v>1252</v>
      </c>
      <c r="E724" s="1" t="s">
        <v>234</v>
      </c>
      <c r="F724" s="17" t="s">
        <v>42</v>
      </c>
      <c r="G724" s="2" t="s">
        <v>1849</v>
      </c>
      <c r="H724" s="2" t="s">
        <v>225</v>
      </c>
      <c r="I724" s="363">
        <v>10199.15</v>
      </c>
      <c r="J724" s="347">
        <v>37.85</v>
      </c>
      <c r="K724" s="357">
        <f t="shared" si="34"/>
        <v>269.4623513870541</v>
      </c>
      <c r="L724" s="476">
        <v>60</v>
      </c>
      <c r="M724" s="343">
        <f t="shared" si="35"/>
        <v>169.98583333333332</v>
      </c>
      <c r="N724" s="344">
        <f ca="1" t="shared" si="33"/>
        <v>130</v>
      </c>
      <c r="O724" s="33">
        <v>-509.9574999999986</v>
      </c>
      <c r="P724" s="340" t="s">
        <v>235</v>
      </c>
    </row>
    <row r="725" spans="2:16" ht="39.75" customHeight="1">
      <c r="B725" s="25">
        <v>40662</v>
      </c>
      <c r="C725" s="340" t="s">
        <v>236</v>
      </c>
      <c r="D725" s="2" t="s">
        <v>1253</v>
      </c>
      <c r="E725" s="1" t="s">
        <v>234</v>
      </c>
      <c r="F725" s="17" t="s">
        <v>42</v>
      </c>
      <c r="G725" s="2" t="s">
        <v>1849</v>
      </c>
      <c r="H725" s="2" t="s">
        <v>225</v>
      </c>
      <c r="I725" s="363">
        <v>10199.15</v>
      </c>
      <c r="J725" s="347">
        <v>37.85</v>
      </c>
      <c r="K725" s="357">
        <f t="shared" si="34"/>
        <v>269.4623513870541</v>
      </c>
      <c r="L725" s="476">
        <v>60</v>
      </c>
      <c r="M725" s="343">
        <f t="shared" si="35"/>
        <v>169.98583333333332</v>
      </c>
      <c r="N725" s="344">
        <f ca="1" t="shared" si="33"/>
        <v>130</v>
      </c>
      <c r="O725" s="33">
        <v>-509.9574999999986</v>
      </c>
      <c r="P725" s="340" t="s">
        <v>235</v>
      </c>
    </row>
    <row r="726" spans="2:16" ht="39.75" customHeight="1">
      <c r="B726" s="25">
        <v>40662</v>
      </c>
      <c r="C726" s="340" t="s">
        <v>237</v>
      </c>
      <c r="D726" s="2" t="s">
        <v>1254</v>
      </c>
      <c r="E726" s="1" t="s">
        <v>238</v>
      </c>
      <c r="F726" s="17" t="s">
        <v>42</v>
      </c>
      <c r="G726" s="2" t="s">
        <v>1849</v>
      </c>
      <c r="H726" s="2" t="s">
        <v>225</v>
      </c>
      <c r="I726" s="363">
        <v>5603.45</v>
      </c>
      <c r="J726" s="347">
        <v>37.85</v>
      </c>
      <c r="K726" s="357">
        <f t="shared" si="34"/>
        <v>148.04359313077939</v>
      </c>
      <c r="L726" s="476">
        <v>60</v>
      </c>
      <c r="M726" s="343">
        <f t="shared" si="35"/>
        <v>93.39083333333333</v>
      </c>
      <c r="N726" s="344">
        <f ca="1" t="shared" si="33"/>
        <v>130</v>
      </c>
      <c r="O726" s="33">
        <v>-280.1725000000006</v>
      </c>
      <c r="P726" s="340" t="s">
        <v>229</v>
      </c>
    </row>
    <row r="727" spans="2:16" ht="39.75" customHeight="1">
      <c r="B727" s="25">
        <v>40662</v>
      </c>
      <c r="C727" s="340" t="s">
        <v>239</v>
      </c>
      <c r="D727" s="2" t="s">
        <v>1255</v>
      </c>
      <c r="E727" s="1" t="s">
        <v>240</v>
      </c>
      <c r="F727" s="17" t="s">
        <v>42</v>
      </c>
      <c r="G727" s="2" t="s">
        <v>1849</v>
      </c>
      <c r="H727" s="2" t="s">
        <v>225</v>
      </c>
      <c r="I727" s="363">
        <v>5126.35</v>
      </c>
      <c r="J727" s="347">
        <v>37.85</v>
      </c>
      <c r="K727" s="357">
        <f t="shared" si="34"/>
        <v>135.43857331571996</v>
      </c>
      <c r="L727" s="476">
        <v>60</v>
      </c>
      <c r="M727" s="343">
        <f t="shared" si="35"/>
        <v>85.43916666666668</v>
      </c>
      <c r="N727" s="344">
        <f ca="1" t="shared" si="33"/>
        <v>130</v>
      </c>
      <c r="O727" s="33">
        <v>-256.3175000000001</v>
      </c>
      <c r="P727" s="340" t="s">
        <v>235</v>
      </c>
    </row>
    <row r="728" spans="2:16" ht="39.75" customHeight="1">
      <c r="B728" s="25">
        <v>40662</v>
      </c>
      <c r="C728" s="340" t="s">
        <v>239</v>
      </c>
      <c r="D728" s="2" t="s">
        <v>1256</v>
      </c>
      <c r="E728" s="1" t="s">
        <v>241</v>
      </c>
      <c r="F728" s="17" t="s">
        <v>42</v>
      </c>
      <c r="G728" s="2" t="s">
        <v>1849</v>
      </c>
      <c r="H728" s="2" t="s">
        <v>225</v>
      </c>
      <c r="I728" s="363">
        <v>1020</v>
      </c>
      <c r="J728" s="347">
        <v>37.85</v>
      </c>
      <c r="K728" s="357">
        <f t="shared" si="34"/>
        <v>26.948480845442536</v>
      </c>
      <c r="L728" s="476">
        <v>60</v>
      </c>
      <c r="M728" s="343">
        <f t="shared" si="35"/>
        <v>17</v>
      </c>
      <c r="N728" s="344">
        <f ca="1" t="shared" si="33"/>
        <v>130</v>
      </c>
      <c r="O728" s="33">
        <v>-51</v>
      </c>
      <c r="P728" s="340" t="s">
        <v>235</v>
      </c>
    </row>
    <row r="729" spans="2:16" ht="39.75" customHeight="1">
      <c r="B729" s="25">
        <v>40662</v>
      </c>
      <c r="C729" s="340" t="s">
        <v>239</v>
      </c>
      <c r="D729" s="2" t="s">
        <v>1257</v>
      </c>
      <c r="E729" s="1" t="s">
        <v>241</v>
      </c>
      <c r="F729" s="17" t="s">
        <v>42</v>
      </c>
      <c r="G729" s="2" t="s">
        <v>1849</v>
      </c>
      <c r="H729" s="2" t="s">
        <v>225</v>
      </c>
      <c r="I729" s="363">
        <v>1020</v>
      </c>
      <c r="J729" s="347">
        <v>37.85</v>
      </c>
      <c r="K729" s="357">
        <f t="shared" si="34"/>
        <v>26.948480845442536</v>
      </c>
      <c r="L729" s="476">
        <v>60</v>
      </c>
      <c r="M729" s="343">
        <f t="shared" si="35"/>
        <v>17</v>
      </c>
      <c r="N729" s="344">
        <f ca="1" t="shared" si="33"/>
        <v>130</v>
      </c>
      <c r="O729" s="33">
        <v>-51</v>
      </c>
      <c r="P729" s="340" t="s">
        <v>235</v>
      </c>
    </row>
    <row r="730" spans="2:16" ht="39.75" customHeight="1">
      <c r="B730" s="25">
        <v>40662</v>
      </c>
      <c r="C730" s="340" t="s">
        <v>242</v>
      </c>
      <c r="D730" s="2" t="s">
        <v>1258</v>
      </c>
      <c r="E730" s="1" t="s">
        <v>243</v>
      </c>
      <c r="F730" s="17" t="s">
        <v>244</v>
      </c>
      <c r="G730" s="2" t="s">
        <v>1849</v>
      </c>
      <c r="H730" s="2" t="s">
        <v>225</v>
      </c>
      <c r="I730" s="363">
        <v>1996.65</v>
      </c>
      <c r="J730" s="347">
        <v>37.85</v>
      </c>
      <c r="K730" s="357">
        <f t="shared" si="34"/>
        <v>52.751651254953764</v>
      </c>
      <c r="L730" s="476">
        <v>60</v>
      </c>
      <c r="M730" s="343">
        <f t="shared" si="35"/>
        <v>33.2775</v>
      </c>
      <c r="N730" s="344">
        <f ca="1" t="shared" si="33"/>
        <v>130</v>
      </c>
      <c r="O730" s="33">
        <v>-99.83249999999998</v>
      </c>
      <c r="P730" s="340" t="s">
        <v>235</v>
      </c>
    </row>
    <row r="731" spans="2:16" ht="39.75" customHeight="1">
      <c r="B731" s="25">
        <v>40662</v>
      </c>
      <c r="C731" s="340" t="s">
        <v>245</v>
      </c>
      <c r="D731" s="2" t="s">
        <v>1259</v>
      </c>
      <c r="E731" s="1" t="s">
        <v>246</v>
      </c>
      <c r="F731" s="17" t="s">
        <v>247</v>
      </c>
      <c r="G731" s="2" t="s">
        <v>1849</v>
      </c>
      <c r="H731" s="2" t="s">
        <v>225</v>
      </c>
      <c r="I731" s="363">
        <v>4913.76</v>
      </c>
      <c r="J731" s="347">
        <v>37.85</v>
      </c>
      <c r="K731" s="357">
        <f t="shared" si="34"/>
        <v>129.821928665786</v>
      </c>
      <c r="L731" s="476">
        <v>60</v>
      </c>
      <c r="M731" s="343">
        <f t="shared" si="35"/>
        <v>81.896</v>
      </c>
      <c r="N731" s="344">
        <f ca="1" t="shared" si="33"/>
        <v>130</v>
      </c>
      <c r="O731" s="33">
        <v>-245.6880000000001</v>
      </c>
      <c r="P731" s="340" t="s">
        <v>504</v>
      </c>
    </row>
    <row r="732" spans="2:16" ht="39.75" customHeight="1">
      <c r="B732" s="25">
        <v>40663</v>
      </c>
      <c r="C732" s="340" t="s">
        <v>505</v>
      </c>
      <c r="D732" s="2" t="s">
        <v>1260</v>
      </c>
      <c r="E732" s="1" t="s">
        <v>506</v>
      </c>
      <c r="F732" s="17" t="s">
        <v>42</v>
      </c>
      <c r="G732" s="2" t="s">
        <v>1849</v>
      </c>
      <c r="H732" s="2" t="s">
        <v>225</v>
      </c>
      <c r="I732" s="363">
        <v>2246.12</v>
      </c>
      <c r="J732" s="347">
        <v>37.85</v>
      </c>
      <c r="K732" s="357">
        <f t="shared" si="34"/>
        <v>59.342668428005275</v>
      </c>
      <c r="L732" s="476">
        <v>60</v>
      </c>
      <c r="M732" s="343">
        <f t="shared" si="35"/>
        <v>37.43533333333333</v>
      </c>
      <c r="N732" s="344">
        <f ca="1" t="shared" si="33"/>
        <v>130</v>
      </c>
      <c r="O732" s="33">
        <v>-112.30600000000004</v>
      </c>
      <c r="P732" s="340" t="s">
        <v>507</v>
      </c>
    </row>
    <row r="733" spans="2:16" ht="39.75" customHeight="1">
      <c r="B733" s="25">
        <v>40663</v>
      </c>
      <c r="C733" s="340" t="s">
        <v>505</v>
      </c>
      <c r="D733" s="2" t="s">
        <v>1261</v>
      </c>
      <c r="E733" s="1" t="s">
        <v>506</v>
      </c>
      <c r="F733" s="17" t="s">
        <v>42</v>
      </c>
      <c r="G733" s="2" t="s">
        <v>1849</v>
      </c>
      <c r="H733" s="2" t="s">
        <v>225</v>
      </c>
      <c r="I733" s="363">
        <v>2246.12</v>
      </c>
      <c r="J733" s="347">
        <v>37.85</v>
      </c>
      <c r="K733" s="357">
        <f t="shared" si="34"/>
        <v>59.342668428005275</v>
      </c>
      <c r="L733" s="476">
        <v>60</v>
      </c>
      <c r="M733" s="343">
        <f t="shared" si="35"/>
        <v>37.43533333333333</v>
      </c>
      <c r="N733" s="344">
        <f ca="1" t="shared" si="33"/>
        <v>130</v>
      </c>
      <c r="O733" s="33">
        <v>-112.30600000000004</v>
      </c>
      <c r="P733" s="340" t="s">
        <v>507</v>
      </c>
    </row>
    <row r="734" spans="2:16" ht="39.75" customHeight="1">
      <c r="B734" s="25">
        <v>40663</v>
      </c>
      <c r="C734" s="340" t="s">
        <v>505</v>
      </c>
      <c r="D734" s="2" t="s">
        <v>1262</v>
      </c>
      <c r="E734" s="1" t="s">
        <v>506</v>
      </c>
      <c r="F734" s="17" t="s">
        <v>42</v>
      </c>
      <c r="G734" s="2" t="s">
        <v>1849</v>
      </c>
      <c r="H734" s="2" t="s">
        <v>225</v>
      </c>
      <c r="I734" s="363">
        <v>2246.12</v>
      </c>
      <c r="J734" s="347">
        <v>37.85</v>
      </c>
      <c r="K734" s="357">
        <f t="shared" si="34"/>
        <v>59.342668428005275</v>
      </c>
      <c r="L734" s="476">
        <v>60</v>
      </c>
      <c r="M734" s="343">
        <f t="shared" si="35"/>
        <v>37.43533333333333</v>
      </c>
      <c r="N734" s="344">
        <f ca="1" t="shared" si="33"/>
        <v>130</v>
      </c>
      <c r="O734" s="33">
        <v>-112.30600000000004</v>
      </c>
      <c r="P734" s="340" t="s">
        <v>507</v>
      </c>
    </row>
    <row r="735" spans="2:16" ht="39.75" customHeight="1">
      <c r="B735" s="25">
        <v>40663</v>
      </c>
      <c r="C735" s="340" t="s">
        <v>505</v>
      </c>
      <c r="D735" s="2" t="s">
        <v>1263</v>
      </c>
      <c r="E735" s="1" t="s">
        <v>506</v>
      </c>
      <c r="F735" s="17" t="s">
        <v>42</v>
      </c>
      <c r="G735" s="2" t="s">
        <v>1849</v>
      </c>
      <c r="H735" s="2" t="s">
        <v>225</v>
      </c>
      <c r="I735" s="363">
        <v>2246.12</v>
      </c>
      <c r="J735" s="347">
        <v>37.85</v>
      </c>
      <c r="K735" s="357">
        <f t="shared" si="34"/>
        <v>59.342668428005275</v>
      </c>
      <c r="L735" s="476">
        <v>60</v>
      </c>
      <c r="M735" s="343">
        <f t="shared" si="35"/>
        <v>37.43533333333333</v>
      </c>
      <c r="N735" s="344">
        <f ca="1" t="shared" si="33"/>
        <v>130</v>
      </c>
      <c r="O735" s="33">
        <v>-112.30600000000004</v>
      </c>
      <c r="P735" s="340" t="s">
        <v>507</v>
      </c>
    </row>
    <row r="736" spans="2:16" ht="39.75" customHeight="1">
      <c r="B736" s="25">
        <v>40663</v>
      </c>
      <c r="C736" s="340" t="s">
        <v>505</v>
      </c>
      <c r="D736" s="2" t="s">
        <v>1264</v>
      </c>
      <c r="E736" s="1" t="s">
        <v>506</v>
      </c>
      <c r="F736" s="17" t="s">
        <v>42</v>
      </c>
      <c r="G736" s="2" t="s">
        <v>1849</v>
      </c>
      <c r="H736" s="2" t="s">
        <v>225</v>
      </c>
      <c r="I736" s="363">
        <v>2246.12</v>
      </c>
      <c r="J736" s="347">
        <v>37.85</v>
      </c>
      <c r="K736" s="357">
        <f t="shared" si="34"/>
        <v>59.342668428005275</v>
      </c>
      <c r="L736" s="476">
        <v>60</v>
      </c>
      <c r="M736" s="343">
        <f t="shared" si="35"/>
        <v>37.43533333333333</v>
      </c>
      <c r="N736" s="344">
        <f ca="1" t="shared" si="33"/>
        <v>130</v>
      </c>
      <c r="O736" s="33">
        <v>-112.30600000000004</v>
      </c>
      <c r="P736" s="340" t="s">
        <v>507</v>
      </c>
    </row>
    <row r="737" spans="2:16" ht="39.75" customHeight="1">
      <c r="B737" s="25">
        <v>40663</v>
      </c>
      <c r="C737" s="340" t="s">
        <v>505</v>
      </c>
      <c r="D737" s="2" t="s">
        <v>1265</v>
      </c>
      <c r="E737" s="1" t="s">
        <v>506</v>
      </c>
      <c r="F737" s="17" t="s">
        <v>42</v>
      </c>
      <c r="G737" s="2" t="s">
        <v>1849</v>
      </c>
      <c r="H737" s="2" t="s">
        <v>225</v>
      </c>
      <c r="I737" s="363">
        <v>2246.12</v>
      </c>
      <c r="J737" s="347">
        <v>37.85</v>
      </c>
      <c r="K737" s="357">
        <f t="shared" si="34"/>
        <v>59.342668428005275</v>
      </c>
      <c r="L737" s="476">
        <v>60</v>
      </c>
      <c r="M737" s="343">
        <f t="shared" si="35"/>
        <v>37.43533333333333</v>
      </c>
      <c r="N737" s="344">
        <f ca="1" t="shared" si="33"/>
        <v>130</v>
      </c>
      <c r="O737" s="33">
        <v>-112.30600000000004</v>
      </c>
      <c r="P737" s="340" t="s">
        <v>507</v>
      </c>
    </row>
    <row r="738" spans="2:16" ht="39.75" customHeight="1">
      <c r="B738" s="25">
        <v>40663</v>
      </c>
      <c r="C738" s="340" t="s">
        <v>505</v>
      </c>
      <c r="D738" s="2" t="s">
        <v>1266</v>
      </c>
      <c r="E738" s="1" t="s">
        <v>506</v>
      </c>
      <c r="F738" s="17" t="s">
        <v>42</v>
      </c>
      <c r="G738" s="2" t="s">
        <v>1849</v>
      </c>
      <c r="H738" s="2" t="s">
        <v>225</v>
      </c>
      <c r="I738" s="363">
        <v>2246.12</v>
      </c>
      <c r="J738" s="347">
        <v>37.85</v>
      </c>
      <c r="K738" s="357">
        <f t="shared" si="34"/>
        <v>59.342668428005275</v>
      </c>
      <c r="L738" s="476">
        <v>60</v>
      </c>
      <c r="M738" s="343">
        <f t="shared" si="35"/>
        <v>37.43533333333333</v>
      </c>
      <c r="N738" s="344">
        <f ca="1" t="shared" si="33"/>
        <v>130</v>
      </c>
      <c r="O738" s="33">
        <v>-112.30600000000004</v>
      </c>
      <c r="P738" s="340" t="s">
        <v>507</v>
      </c>
    </row>
    <row r="739" spans="2:16" ht="39.75" customHeight="1">
      <c r="B739" s="25">
        <v>40663</v>
      </c>
      <c r="C739" s="340" t="s">
        <v>508</v>
      </c>
      <c r="D739" s="2" t="s">
        <v>1267</v>
      </c>
      <c r="E739" s="1" t="s">
        <v>486</v>
      </c>
      <c r="F739" s="17" t="s">
        <v>42</v>
      </c>
      <c r="G739" s="2" t="s">
        <v>1849</v>
      </c>
      <c r="H739" s="2" t="s">
        <v>225</v>
      </c>
      <c r="I739" s="363">
        <v>18000</v>
      </c>
      <c r="J739" s="347">
        <v>37.85</v>
      </c>
      <c r="K739" s="357">
        <f t="shared" si="34"/>
        <v>475.56142668428004</v>
      </c>
      <c r="L739" s="476">
        <v>60</v>
      </c>
      <c r="M739" s="343">
        <f t="shared" si="35"/>
        <v>300</v>
      </c>
      <c r="N739" s="344">
        <f ca="1" t="shared" si="33"/>
        <v>130</v>
      </c>
      <c r="O739" s="33">
        <v>-900</v>
      </c>
      <c r="P739" s="340" t="s">
        <v>487</v>
      </c>
    </row>
    <row r="740" spans="2:16" ht="39.75" customHeight="1">
      <c r="B740" s="25">
        <v>40669</v>
      </c>
      <c r="C740" s="340" t="s">
        <v>488</v>
      </c>
      <c r="D740" s="2" t="s">
        <v>1767</v>
      </c>
      <c r="E740" s="1" t="s">
        <v>489</v>
      </c>
      <c r="F740" s="17" t="s">
        <v>490</v>
      </c>
      <c r="G740" s="2" t="s">
        <v>429</v>
      </c>
      <c r="H740" s="2" t="s">
        <v>437</v>
      </c>
      <c r="I740" s="363">
        <v>9325</v>
      </c>
      <c r="J740" s="347">
        <v>37.85</v>
      </c>
      <c r="K740" s="357">
        <f t="shared" si="34"/>
        <v>246.3672391017173</v>
      </c>
      <c r="L740" s="476">
        <v>120</v>
      </c>
      <c r="M740" s="343">
        <f t="shared" si="35"/>
        <v>155.41666666666666</v>
      </c>
      <c r="N740" s="344">
        <f ca="1" t="shared" si="33"/>
        <v>130</v>
      </c>
      <c r="O740" s="33">
        <v>-466.25</v>
      </c>
      <c r="P740" s="340" t="s">
        <v>491</v>
      </c>
    </row>
    <row r="741" spans="2:16" ht="39.75" customHeight="1">
      <c r="B741" s="25">
        <v>40669</v>
      </c>
      <c r="C741" s="340" t="s">
        <v>488</v>
      </c>
      <c r="D741" s="2" t="s">
        <v>1768</v>
      </c>
      <c r="E741" s="1" t="s">
        <v>489</v>
      </c>
      <c r="F741" s="17" t="s">
        <v>492</v>
      </c>
      <c r="G741" s="2" t="s">
        <v>429</v>
      </c>
      <c r="H741" s="2" t="s">
        <v>437</v>
      </c>
      <c r="I741" s="363">
        <v>9325</v>
      </c>
      <c r="J741" s="347">
        <v>37.85</v>
      </c>
      <c r="K741" s="357">
        <f t="shared" si="34"/>
        <v>246.3672391017173</v>
      </c>
      <c r="L741" s="476">
        <v>120</v>
      </c>
      <c r="M741" s="343">
        <f t="shared" si="35"/>
        <v>155.41666666666666</v>
      </c>
      <c r="N741" s="344">
        <f ca="1" t="shared" si="33"/>
        <v>130</v>
      </c>
      <c r="O741" s="33">
        <v>-466.25</v>
      </c>
      <c r="P741" s="340" t="s">
        <v>491</v>
      </c>
    </row>
    <row r="742" spans="2:16" ht="39.75" customHeight="1">
      <c r="B742" s="25">
        <v>40669</v>
      </c>
      <c r="C742" s="340" t="s">
        <v>488</v>
      </c>
      <c r="D742" s="2" t="s">
        <v>1769</v>
      </c>
      <c r="E742" s="1" t="s">
        <v>489</v>
      </c>
      <c r="F742" s="17" t="s">
        <v>493</v>
      </c>
      <c r="G742" s="2" t="s">
        <v>429</v>
      </c>
      <c r="H742" s="2" t="s">
        <v>437</v>
      </c>
      <c r="I742" s="363">
        <v>9325</v>
      </c>
      <c r="J742" s="347">
        <v>37.85</v>
      </c>
      <c r="K742" s="357">
        <f t="shared" si="34"/>
        <v>246.3672391017173</v>
      </c>
      <c r="L742" s="476">
        <v>120</v>
      </c>
      <c r="M742" s="343">
        <f t="shared" si="35"/>
        <v>155.41666666666666</v>
      </c>
      <c r="N742" s="344">
        <f ca="1" t="shared" si="33"/>
        <v>130</v>
      </c>
      <c r="O742" s="33">
        <v>-466.25</v>
      </c>
      <c r="P742" s="340" t="s">
        <v>491</v>
      </c>
    </row>
    <row r="743" spans="2:16" ht="39.75" customHeight="1">
      <c r="B743" s="25">
        <v>40669</v>
      </c>
      <c r="C743" s="340" t="s">
        <v>488</v>
      </c>
      <c r="D743" s="2" t="s">
        <v>1770</v>
      </c>
      <c r="E743" s="1" t="s">
        <v>489</v>
      </c>
      <c r="F743" s="17" t="s">
        <v>494</v>
      </c>
      <c r="G743" s="2" t="s">
        <v>429</v>
      </c>
      <c r="H743" s="2" t="s">
        <v>437</v>
      </c>
      <c r="I743" s="363">
        <v>9325</v>
      </c>
      <c r="J743" s="347">
        <v>37.85</v>
      </c>
      <c r="K743" s="357">
        <f t="shared" si="34"/>
        <v>246.3672391017173</v>
      </c>
      <c r="L743" s="476">
        <v>120</v>
      </c>
      <c r="M743" s="343">
        <f t="shared" si="35"/>
        <v>155.41666666666666</v>
      </c>
      <c r="N743" s="344">
        <f ca="1" t="shared" si="33"/>
        <v>130</v>
      </c>
      <c r="O743" s="33">
        <v>-466.25</v>
      </c>
      <c r="P743" s="340" t="s">
        <v>491</v>
      </c>
    </row>
    <row r="744" spans="2:16" ht="39.75" customHeight="1">
      <c r="B744" s="25">
        <v>40669</v>
      </c>
      <c r="C744" s="340" t="s">
        <v>488</v>
      </c>
      <c r="D744" s="2" t="s">
        <v>1771</v>
      </c>
      <c r="E744" s="1" t="s">
        <v>489</v>
      </c>
      <c r="F744" s="17" t="s">
        <v>495</v>
      </c>
      <c r="G744" s="2" t="s">
        <v>429</v>
      </c>
      <c r="H744" s="2" t="s">
        <v>437</v>
      </c>
      <c r="I744" s="363">
        <v>9325</v>
      </c>
      <c r="J744" s="347">
        <v>37.85</v>
      </c>
      <c r="K744" s="357">
        <f t="shared" si="34"/>
        <v>246.3672391017173</v>
      </c>
      <c r="L744" s="476">
        <v>120</v>
      </c>
      <c r="M744" s="343">
        <f t="shared" si="35"/>
        <v>155.41666666666666</v>
      </c>
      <c r="N744" s="344">
        <f ca="1" t="shared" si="33"/>
        <v>130</v>
      </c>
      <c r="O744" s="33">
        <v>-466.25</v>
      </c>
      <c r="P744" s="340" t="s">
        <v>491</v>
      </c>
    </row>
    <row r="745" spans="2:16" ht="39.75" customHeight="1">
      <c r="B745" s="25">
        <v>40669</v>
      </c>
      <c r="C745" s="340" t="s">
        <v>488</v>
      </c>
      <c r="D745" s="2" t="s">
        <v>1772</v>
      </c>
      <c r="E745" s="1" t="s">
        <v>489</v>
      </c>
      <c r="F745" s="17" t="s">
        <v>496</v>
      </c>
      <c r="G745" s="2" t="s">
        <v>429</v>
      </c>
      <c r="H745" s="2" t="s">
        <v>437</v>
      </c>
      <c r="I745" s="363">
        <v>9325</v>
      </c>
      <c r="J745" s="347">
        <v>37.85</v>
      </c>
      <c r="K745" s="357">
        <f t="shared" si="34"/>
        <v>246.3672391017173</v>
      </c>
      <c r="L745" s="476">
        <v>120</v>
      </c>
      <c r="M745" s="343">
        <f t="shared" si="35"/>
        <v>155.41666666666666</v>
      </c>
      <c r="N745" s="344">
        <f ca="1" t="shared" si="33"/>
        <v>130</v>
      </c>
      <c r="O745" s="33">
        <v>-466.25</v>
      </c>
      <c r="P745" s="340" t="s">
        <v>491</v>
      </c>
    </row>
    <row r="746" spans="2:16" ht="39.75" customHeight="1">
      <c r="B746" s="25">
        <v>40681</v>
      </c>
      <c r="C746" s="340" t="s">
        <v>497</v>
      </c>
      <c r="D746" s="2" t="s">
        <v>1777</v>
      </c>
      <c r="E746" s="1" t="s">
        <v>498</v>
      </c>
      <c r="F746" s="17" t="s">
        <v>499</v>
      </c>
      <c r="G746" s="2" t="s">
        <v>81</v>
      </c>
      <c r="H746" s="2" t="s">
        <v>437</v>
      </c>
      <c r="I746" s="363">
        <v>318815.53</v>
      </c>
      <c r="J746" s="347">
        <v>37.89</v>
      </c>
      <c r="K746" s="357">
        <f t="shared" si="34"/>
        <v>8414.239377144366</v>
      </c>
      <c r="L746" s="476">
        <v>60</v>
      </c>
      <c r="M746" s="343">
        <f t="shared" si="35"/>
        <v>5313.592166666667</v>
      </c>
      <c r="N746" s="344">
        <f ca="1" t="shared" si="33"/>
        <v>129</v>
      </c>
      <c r="O746" s="33">
        <v>-13283.980416666658</v>
      </c>
      <c r="P746" s="340" t="s">
        <v>273</v>
      </c>
    </row>
    <row r="747" spans="2:16" ht="39.75" customHeight="1">
      <c r="B747" s="25">
        <v>40696</v>
      </c>
      <c r="C747" s="340" t="s">
        <v>500</v>
      </c>
      <c r="D747" s="2" t="s">
        <v>1715</v>
      </c>
      <c r="E747" s="366" t="s">
        <v>3651</v>
      </c>
      <c r="F747" s="17" t="s">
        <v>800</v>
      </c>
      <c r="G747" s="2" t="s">
        <v>821</v>
      </c>
      <c r="H747" s="2" t="s">
        <v>249</v>
      </c>
      <c r="I747" s="363">
        <v>3250000</v>
      </c>
      <c r="J747" s="347">
        <v>38.01</v>
      </c>
      <c r="K747" s="357">
        <f t="shared" si="34"/>
        <v>85503.81478558274</v>
      </c>
      <c r="L747" s="476">
        <v>120</v>
      </c>
      <c r="M747" s="343">
        <f t="shared" si="35"/>
        <v>54166.666666666664</v>
      </c>
      <c r="N747" s="344">
        <f ca="1" t="shared" si="33"/>
        <v>129</v>
      </c>
      <c r="O747" s="33">
        <v>-135416.6666666665</v>
      </c>
      <c r="P747" s="340" t="s">
        <v>501</v>
      </c>
    </row>
    <row r="748" spans="2:16" ht="39.75" customHeight="1">
      <c r="B748" s="25">
        <v>40799</v>
      </c>
      <c r="C748" s="340" t="s">
        <v>371</v>
      </c>
      <c r="D748" s="2" t="s">
        <v>1781</v>
      </c>
      <c r="E748" s="1" t="s">
        <v>372</v>
      </c>
      <c r="F748" s="2" t="s">
        <v>373</v>
      </c>
      <c r="G748" s="2" t="s">
        <v>3478</v>
      </c>
      <c r="H748" s="2" t="s">
        <v>437</v>
      </c>
      <c r="I748" s="363">
        <v>11504.88</v>
      </c>
      <c r="J748" s="347">
        <v>38.15</v>
      </c>
      <c r="K748" s="357">
        <f t="shared" si="34"/>
        <v>301.56959370904326</v>
      </c>
      <c r="L748" s="476">
        <v>60</v>
      </c>
      <c r="M748" s="343">
        <f t="shared" si="35"/>
        <v>191.748</v>
      </c>
      <c r="N748" s="344">
        <f ca="1" t="shared" si="33"/>
        <v>126</v>
      </c>
      <c r="O748" s="33">
        <v>-95.8739999999998</v>
      </c>
      <c r="P748" s="340" t="s">
        <v>273</v>
      </c>
    </row>
    <row r="749" spans="2:16" ht="39.75" customHeight="1">
      <c r="B749" s="25">
        <v>40905</v>
      </c>
      <c r="C749" s="340" t="s">
        <v>375</v>
      </c>
      <c r="D749" s="2" t="s">
        <v>1766</v>
      </c>
      <c r="E749" s="1" t="s">
        <v>376</v>
      </c>
      <c r="F749" s="2" t="s">
        <v>1765</v>
      </c>
      <c r="G749" s="361" t="s">
        <v>824</v>
      </c>
      <c r="H749" s="361" t="s">
        <v>825</v>
      </c>
      <c r="I749" s="363">
        <v>30994.92</v>
      </c>
      <c r="J749" s="347">
        <v>38.53</v>
      </c>
      <c r="K749" s="357">
        <f t="shared" si="34"/>
        <v>804.436023877498</v>
      </c>
      <c r="L749" s="476">
        <v>120</v>
      </c>
      <c r="M749" s="343">
        <f t="shared" si="35"/>
        <v>516.582</v>
      </c>
      <c r="N749" s="344">
        <f ca="1" t="shared" si="33"/>
        <v>122</v>
      </c>
      <c r="O749" s="33">
        <v>516.5819999999985</v>
      </c>
      <c r="P749" s="340" t="s">
        <v>377</v>
      </c>
    </row>
    <row r="750" spans="2:16" ht="39.75" customHeight="1">
      <c r="B750" s="25">
        <v>41024</v>
      </c>
      <c r="C750" s="340" t="s">
        <v>438</v>
      </c>
      <c r="D750" s="2" t="s">
        <v>1068</v>
      </c>
      <c r="E750" s="1" t="s">
        <v>439</v>
      </c>
      <c r="F750" s="17" t="s">
        <v>440</v>
      </c>
      <c r="G750" s="2" t="s">
        <v>1830</v>
      </c>
      <c r="H750" s="2" t="s">
        <v>437</v>
      </c>
      <c r="I750" s="356">
        <v>12500</v>
      </c>
      <c r="J750" s="342">
        <v>39.03</v>
      </c>
      <c r="K750" s="357">
        <f t="shared" si="34"/>
        <v>320.26646169613116</v>
      </c>
      <c r="L750" s="476">
        <v>60</v>
      </c>
      <c r="M750" s="343">
        <f t="shared" si="35"/>
        <v>208.33333333333334</v>
      </c>
      <c r="N750" s="344">
        <f ca="1" t="shared" si="33"/>
        <v>118</v>
      </c>
      <c r="O750" s="33">
        <v>625</v>
      </c>
      <c r="P750" s="340" t="s">
        <v>441</v>
      </c>
    </row>
    <row r="751" spans="2:16" ht="39.75" customHeight="1">
      <c r="B751" s="25">
        <v>41033</v>
      </c>
      <c r="C751" s="340" t="s">
        <v>446</v>
      </c>
      <c r="D751" s="2" t="s">
        <v>1062</v>
      </c>
      <c r="E751" s="1" t="s">
        <v>447</v>
      </c>
      <c r="F751" s="17" t="s">
        <v>448</v>
      </c>
      <c r="G751" s="2" t="s">
        <v>615</v>
      </c>
      <c r="H751" s="2" t="s">
        <v>437</v>
      </c>
      <c r="I751" s="356">
        <v>7034</v>
      </c>
      <c r="J751" s="342">
        <v>39.03</v>
      </c>
      <c r="K751" s="357">
        <f t="shared" si="34"/>
        <v>180.22034332564692</v>
      </c>
      <c r="L751" s="476">
        <v>60</v>
      </c>
      <c r="M751" s="343">
        <f t="shared" si="35"/>
        <v>117.23333333333333</v>
      </c>
      <c r="N751" s="344">
        <f ca="1" t="shared" si="33"/>
        <v>118</v>
      </c>
      <c r="O751" s="33">
        <v>351.6999999999998</v>
      </c>
      <c r="P751" s="340" t="s">
        <v>355</v>
      </c>
    </row>
    <row r="752" spans="2:16" ht="39.75" customHeight="1">
      <c r="B752" s="25">
        <v>41033</v>
      </c>
      <c r="C752" s="340" t="s">
        <v>446</v>
      </c>
      <c r="D752" s="2" t="s">
        <v>1063</v>
      </c>
      <c r="E752" s="1" t="s">
        <v>447</v>
      </c>
      <c r="F752" s="17" t="s">
        <v>448</v>
      </c>
      <c r="G752" s="2" t="s">
        <v>615</v>
      </c>
      <c r="H752" s="2" t="s">
        <v>437</v>
      </c>
      <c r="I752" s="356">
        <v>7034</v>
      </c>
      <c r="J752" s="342">
        <v>39.03</v>
      </c>
      <c r="K752" s="357">
        <f t="shared" si="34"/>
        <v>180.22034332564692</v>
      </c>
      <c r="L752" s="476">
        <v>60</v>
      </c>
      <c r="M752" s="343">
        <f t="shared" si="35"/>
        <v>117.23333333333333</v>
      </c>
      <c r="N752" s="344">
        <f ca="1" t="shared" si="33"/>
        <v>118</v>
      </c>
      <c r="O752" s="33">
        <v>351.6999999999998</v>
      </c>
      <c r="P752" s="340" t="s">
        <v>355</v>
      </c>
    </row>
    <row r="753" spans="2:16" ht="39.75" customHeight="1">
      <c r="B753" s="25">
        <v>41033</v>
      </c>
      <c r="C753" s="340" t="s">
        <v>446</v>
      </c>
      <c r="D753" s="2" t="s">
        <v>1064</v>
      </c>
      <c r="E753" s="1" t="s">
        <v>447</v>
      </c>
      <c r="F753" s="17" t="s">
        <v>448</v>
      </c>
      <c r="G753" s="2" t="s">
        <v>615</v>
      </c>
      <c r="H753" s="2" t="s">
        <v>437</v>
      </c>
      <c r="I753" s="356">
        <v>7034</v>
      </c>
      <c r="J753" s="342">
        <v>39.03</v>
      </c>
      <c r="K753" s="357">
        <f t="shared" si="34"/>
        <v>180.22034332564692</v>
      </c>
      <c r="L753" s="476">
        <v>60</v>
      </c>
      <c r="M753" s="343">
        <f t="shared" si="35"/>
        <v>117.23333333333333</v>
      </c>
      <c r="N753" s="344">
        <f ca="1" t="shared" si="33"/>
        <v>118</v>
      </c>
      <c r="O753" s="33">
        <v>351.6999999999998</v>
      </c>
      <c r="P753" s="340" t="s">
        <v>355</v>
      </c>
    </row>
    <row r="754" spans="2:16" ht="39.75" customHeight="1">
      <c r="B754" s="25">
        <v>41033</v>
      </c>
      <c r="C754" s="340" t="s">
        <v>446</v>
      </c>
      <c r="D754" s="2" t="s">
        <v>1065</v>
      </c>
      <c r="E754" s="1" t="s">
        <v>447</v>
      </c>
      <c r="F754" s="17" t="s">
        <v>448</v>
      </c>
      <c r="G754" s="2" t="s">
        <v>615</v>
      </c>
      <c r="H754" s="2" t="s">
        <v>437</v>
      </c>
      <c r="I754" s="356">
        <v>7034</v>
      </c>
      <c r="J754" s="342">
        <v>39.03</v>
      </c>
      <c r="K754" s="357">
        <f t="shared" si="34"/>
        <v>180.22034332564692</v>
      </c>
      <c r="L754" s="476">
        <v>60</v>
      </c>
      <c r="M754" s="343">
        <f t="shared" si="35"/>
        <v>117.23333333333333</v>
      </c>
      <c r="N754" s="344">
        <f ca="1" t="shared" si="33"/>
        <v>118</v>
      </c>
      <c r="O754" s="33">
        <v>351.6999999999998</v>
      </c>
      <c r="P754" s="340" t="s">
        <v>355</v>
      </c>
    </row>
    <row r="755" spans="2:16" ht="39.75" customHeight="1">
      <c r="B755" s="25">
        <v>41033</v>
      </c>
      <c r="C755" s="340" t="s">
        <v>446</v>
      </c>
      <c r="D755" s="2" t="s">
        <v>1067</v>
      </c>
      <c r="E755" s="1" t="s">
        <v>450</v>
      </c>
      <c r="F755" s="17" t="s">
        <v>451</v>
      </c>
      <c r="G755" s="2" t="s">
        <v>615</v>
      </c>
      <c r="H755" s="2" t="s">
        <v>437</v>
      </c>
      <c r="I755" s="356">
        <v>8873</v>
      </c>
      <c r="J755" s="342">
        <v>39.03</v>
      </c>
      <c r="K755" s="357">
        <f t="shared" si="34"/>
        <v>227.33794517038174</v>
      </c>
      <c r="L755" s="476">
        <v>60</v>
      </c>
      <c r="M755" s="343">
        <f t="shared" si="35"/>
        <v>147.88333333333333</v>
      </c>
      <c r="N755" s="344">
        <f ca="1" t="shared" si="33"/>
        <v>118</v>
      </c>
      <c r="O755" s="33">
        <v>443.64999999999964</v>
      </c>
      <c r="P755" s="340" t="s">
        <v>355</v>
      </c>
    </row>
    <row r="756" spans="2:16" ht="39.75" customHeight="1">
      <c r="B756" s="25">
        <v>41033</v>
      </c>
      <c r="C756" s="340" t="s">
        <v>446</v>
      </c>
      <c r="D756" s="2" t="s">
        <v>1066</v>
      </c>
      <c r="E756" s="1" t="s">
        <v>447</v>
      </c>
      <c r="F756" s="17" t="s">
        <v>448</v>
      </c>
      <c r="G756" s="2" t="s">
        <v>1834</v>
      </c>
      <c r="H756" s="2" t="s">
        <v>437</v>
      </c>
      <c r="I756" s="356">
        <v>7034</v>
      </c>
      <c r="J756" s="342">
        <v>39.03</v>
      </c>
      <c r="K756" s="357">
        <f t="shared" si="34"/>
        <v>180.22034332564692</v>
      </c>
      <c r="L756" s="476">
        <v>60</v>
      </c>
      <c r="M756" s="343">
        <f t="shared" si="35"/>
        <v>117.23333333333333</v>
      </c>
      <c r="N756" s="344">
        <f ca="1" t="shared" si="33"/>
        <v>118</v>
      </c>
      <c r="O756" s="33">
        <v>351.6999999999998</v>
      </c>
      <c r="P756" s="340" t="s">
        <v>355</v>
      </c>
    </row>
    <row r="757" spans="2:16" ht="39.75" customHeight="1">
      <c r="B757" s="25">
        <v>41033</v>
      </c>
      <c r="C757" s="340" t="s">
        <v>442</v>
      </c>
      <c r="D757" s="2" t="s">
        <v>1087</v>
      </c>
      <c r="E757" s="1" t="s">
        <v>443</v>
      </c>
      <c r="F757" s="17" t="s">
        <v>444</v>
      </c>
      <c r="G757" s="2" t="s">
        <v>821</v>
      </c>
      <c r="H757" s="2" t="s">
        <v>530</v>
      </c>
      <c r="I757" s="356">
        <v>2635</v>
      </c>
      <c r="J757" s="342">
        <v>39.03</v>
      </c>
      <c r="K757" s="357">
        <f t="shared" si="34"/>
        <v>67.51217012554446</v>
      </c>
      <c r="L757" s="476">
        <v>60</v>
      </c>
      <c r="M757" s="343">
        <f t="shared" si="35"/>
        <v>43.916666666666664</v>
      </c>
      <c r="N757" s="344">
        <f ca="1" t="shared" si="33"/>
        <v>118</v>
      </c>
      <c r="O757" s="33">
        <v>131.75</v>
      </c>
      <c r="P757" s="340" t="s">
        <v>445</v>
      </c>
    </row>
    <row r="758" spans="2:16" ht="39.75" customHeight="1">
      <c r="B758" s="25">
        <v>41033</v>
      </c>
      <c r="C758" s="340" t="s">
        <v>442</v>
      </c>
      <c r="D758" s="2" t="s">
        <v>1088</v>
      </c>
      <c r="E758" s="1" t="s">
        <v>443</v>
      </c>
      <c r="F758" s="17" t="s">
        <v>444</v>
      </c>
      <c r="G758" s="2" t="s">
        <v>821</v>
      </c>
      <c r="H758" s="2" t="s">
        <v>530</v>
      </c>
      <c r="I758" s="356">
        <v>2635</v>
      </c>
      <c r="J758" s="342">
        <v>39.03</v>
      </c>
      <c r="K758" s="357">
        <f t="shared" si="34"/>
        <v>67.51217012554446</v>
      </c>
      <c r="L758" s="476">
        <v>60</v>
      </c>
      <c r="M758" s="343">
        <f t="shared" si="35"/>
        <v>43.916666666666664</v>
      </c>
      <c r="N758" s="344">
        <f ca="1" t="shared" si="33"/>
        <v>118</v>
      </c>
      <c r="O758" s="33">
        <v>131.75</v>
      </c>
      <c r="P758" s="340" t="s">
        <v>445</v>
      </c>
    </row>
    <row r="759" spans="2:16" ht="39.75" customHeight="1">
      <c r="B759" s="25">
        <v>41059</v>
      </c>
      <c r="C759" s="341" t="s">
        <v>1058</v>
      </c>
      <c r="D759" s="2" t="s">
        <v>1060</v>
      </c>
      <c r="E759" s="1" t="s">
        <v>453</v>
      </c>
      <c r="F759" s="17" t="s">
        <v>3457</v>
      </c>
      <c r="G759" s="2" t="s">
        <v>3406</v>
      </c>
      <c r="H759" s="2" t="s">
        <v>437</v>
      </c>
      <c r="I759" s="356">
        <v>54107.76</v>
      </c>
      <c r="J759" s="342">
        <v>39.02</v>
      </c>
      <c r="K759" s="357">
        <f t="shared" si="34"/>
        <v>1386.6673500768836</v>
      </c>
      <c r="L759" s="476">
        <v>60</v>
      </c>
      <c r="M759" s="343">
        <f t="shared" si="35"/>
        <v>901.796</v>
      </c>
      <c r="N759" s="344">
        <f ca="1" t="shared" si="33"/>
        <v>117</v>
      </c>
      <c r="O759" s="33">
        <v>3156.286</v>
      </c>
      <c r="P759" s="340" t="s">
        <v>454</v>
      </c>
    </row>
    <row r="760" spans="2:16" ht="39.75" customHeight="1">
      <c r="B760" s="25">
        <v>41059</v>
      </c>
      <c r="C760" s="341" t="s">
        <v>1059</v>
      </c>
      <c r="D760" s="2" t="s">
        <v>1059</v>
      </c>
      <c r="E760" s="1" t="s">
        <v>453</v>
      </c>
      <c r="F760" s="17" t="s">
        <v>3449</v>
      </c>
      <c r="G760" s="2" t="s">
        <v>2621</v>
      </c>
      <c r="H760" s="2" t="s">
        <v>437</v>
      </c>
      <c r="I760" s="356">
        <v>54107.76</v>
      </c>
      <c r="J760" s="342">
        <v>39.02</v>
      </c>
      <c r="K760" s="357">
        <f t="shared" si="34"/>
        <v>1386.6673500768836</v>
      </c>
      <c r="L760" s="476">
        <v>60</v>
      </c>
      <c r="M760" s="343">
        <f t="shared" si="35"/>
        <v>901.796</v>
      </c>
      <c r="N760" s="344">
        <f ca="1" t="shared" si="33"/>
        <v>117</v>
      </c>
      <c r="O760" s="33">
        <v>3156.286</v>
      </c>
      <c r="P760" s="340" t="s">
        <v>454</v>
      </c>
    </row>
    <row r="761" spans="2:16" ht="39.75" customHeight="1">
      <c r="B761" s="25">
        <v>41059</v>
      </c>
      <c r="C761" s="340" t="s">
        <v>455</v>
      </c>
      <c r="D761" s="2" t="s">
        <v>1054</v>
      </c>
      <c r="E761" s="1" t="s">
        <v>453</v>
      </c>
      <c r="F761" s="17" t="s">
        <v>652</v>
      </c>
      <c r="G761" s="2" t="s">
        <v>81</v>
      </c>
      <c r="H761" s="2" t="s">
        <v>437</v>
      </c>
      <c r="I761" s="356">
        <v>54107.76</v>
      </c>
      <c r="J761" s="342">
        <v>39.02</v>
      </c>
      <c r="K761" s="357">
        <f t="shared" si="34"/>
        <v>1386.6673500768836</v>
      </c>
      <c r="L761" s="476">
        <v>60</v>
      </c>
      <c r="M761" s="343">
        <f t="shared" si="35"/>
        <v>901.796</v>
      </c>
      <c r="N761" s="344">
        <f ca="1" t="shared" si="33"/>
        <v>117</v>
      </c>
      <c r="O761" s="33">
        <v>3156.286</v>
      </c>
      <c r="P761" s="340" t="s">
        <v>454</v>
      </c>
    </row>
    <row r="762" spans="2:16" ht="39.75" customHeight="1">
      <c r="B762" s="25">
        <v>41059</v>
      </c>
      <c r="C762" s="340" t="s">
        <v>455</v>
      </c>
      <c r="D762" s="2" t="s">
        <v>1055</v>
      </c>
      <c r="E762" s="1" t="s">
        <v>453</v>
      </c>
      <c r="F762" s="17" t="s">
        <v>650</v>
      </c>
      <c r="G762" s="2" t="s">
        <v>81</v>
      </c>
      <c r="H762" s="2" t="s">
        <v>437</v>
      </c>
      <c r="I762" s="356">
        <v>54107.76</v>
      </c>
      <c r="J762" s="342">
        <v>39.02</v>
      </c>
      <c r="K762" s="357">
        <f t="shared" si="34"/>
        <v>1386.6673500768836</v>
      </c>
      <c r="L762" s="476">
        <v>60</v>
      </c>
      <c r="M762" s="343">
        <f t="shared" si="35"/>
        <v>901.796</v>
      </c>
      <c r="N762" s="344">
        <f ca="1" t="shared" si="33"/>
        <v>117</v>
      </c>
      <c r="O762" s="33">
        <v>3156.286</v>
      </c>
      <c r="P762" s="340" t="s">
        <v>454</v>
      </c>
    </row>
    <row r="763" spans="2:16" ht="39.75" customHeight="1">
      <c r="B763" s="25">
        <v>41059</v>
      </c>
      <c r="C763" s="340" t="s">
        <v>455</v>
      </c>
      <c r="D763" s="2" t="s">
        <v>1056</v>
      </c>
      <c r="E763" s="1" t="s">
        <v>453</v>
      </c>
      <c r="F763" s="17" t="s">
        <v>649</v>
      </c>
      <c r="G763" s="2" t="s">
        <v>81</v>
      </c>
      <c r="H763" s="2" t="s">
        <v>437</v>
      </c>
      <c r="I763" s="356">
        <v>54107.76</v>
      </c>
      <c r="J763" s="342">
        <v>39.02</v>
      </c>
      <c r="K763" s="357">
        <f t="shared" si="34"/>
        <v>1386.6673500768836</v>
      </c>
      <c r="L763" s="476">
        <v>60</v>
      </c>
      <c r="M763" s="343">
        <f t="shared" si="35"/>
        <v>901.796</v>
      </c>
      <c r="N763" s="344">
        <f ca="1" t="shared" si="33"/>
        <v>117</v>
      </c>
      <c r="O763" s="33">
        <v>3156.286</v>
      </c>
      <c r="P763" s="340" t="s">
        <v>454</v>
      </c>
    </row>
    <row r="764" spans="2:16" ht="39.75" customHeight="1">
      <c r="B764" s="25">
        <v>41059</v>
      </c>
      <c r="C764" s="340" t="s">
        <v>455</v>
      </c>
      <c r="D764" s="2" t="s">
        <v>1057</v>
      </c>
      <c r="E764" s="1" t="s">
        <v>453</v>
      </c>
      <c r="F764" s="17" t="s">
        <v>656</v>
      </c>
      <c r="G764" s="2" t="s">
        <v>81</v>
      </c>
      <c r="H764" s="2" t="s">
        <v>437</v>
      </c>
      <c r="I764" s="356">
        <v>54107.76</v>
      </c>
      <c r="J764" s="342">
        <v>39.02</v>
      </c>
      <c r="K764" s="357">
        <f t="shared" si="34"/>
        <v>1386.6673500768836</v>
      </c>
      <c r="L764" s="476">
        <v>60</v>
      </c>
      <c r="M764" s="343">
        <f t="shared" si="35"/>
        <v>901.796</v>
      </c>
      <c r="N764" s="344">
        <f ca="1" t="shared" si="33"/>
        <v>117</v>
      </c>
      <c r="O764" s="33">
        <v>3156.286</v>
      </c>
      <c r="P764" s="340" t="s">
        <v>454</v>
      </c>
    </row>
    <row r="765" spans="2:16" ht="39.75" customHeight="1">
      <c r="B765" s="25">
        <v>41059</v>
      </c>
      <c r="C765" s="341" t="s">
        <v>1061</v>
      </c>
      <c r="D765" s="2" t="s">
        <v>1061</v>
      </c>
      <c r="E765" s="1" t="s">
        <v>453</v>
      </c>
      <c r="F765" s="17" t="s">
        <v>139</v>
      </c>
      <c r="G765" s="2" t="s">
        <v>81</v>
      </c>
      <c r="H765" s="2" t="s">
        <v>437</v>
      </c>
      <c r="I765" s="356">
        <v>54107.76</v>
      </c>
      <c r="J765" s="342">
        <v>39.02</v>
      </c>
      <c r="K765" s="357">
        <f t="shared" si="34"/>
        <v>1386.6673500768836</v>
      </c>
      <c r="L765" s="476">
        <v>60</v>
      </c>
      <c r="M765" s="343">
        <f t="shared" si="35"/>
        <v>901.796</v>
      </c>
      <c r="N765" s="344">
        <f ca="1" t="shared" si="33"/>
        <v>117</v>
      </c>
      <c r="O765" s="33">
        <v>3156.286</v>
      </c>
      <c r="P765" s="340" t="s">
        <v>454</v>
      </c>
    </row>
    <row r="766" spans="2:16" ht="39.75" customHeight="1">
      <c r="B766" s="25">
        <v>41059</v>
      </c>
      <c r="C766" s="341" t="s">
        <v>1077</v>
      </c>
      <c r="D766" s="2" t="s">
        <v>1077</v>
      </c>
      <c r="E766" s="1" t="s">
        <v>453</v>
      </c>
      <c r="F766" s="17" t="s">
        <v>657</v>
      </c>
      <c r="G766" s="2" t="s">
        <v>821</v>
      </c>
      <c r="H766" s="2" t="s">
        <v>111</v>
      </c>
      <c r="I766" s="356">
        <v>54107.76</v>
      </c>
      <c r="J766" s="342">
        <v>39.02</v>
      </c>
      <c r="K766" s="357">
        <f t="shared" si="34"/>
        <v>1386.6673500768836</v>
      </c>
      <c r="L766" s="476">
        <v>60</v>
      </c>
      <c r="M766" s="343">
        <f t="shared" si="35"/>
        <v>901.796</v>
      </c>
      <c r="N766" s="344">
        <f ca="1" t="shared" si="33"/>
        <v>117</v>
      </c>
      <c r="O766" s="33">
        <v>3156.286</v>
      </c>
      <c r="P766" s="340" t="s">
        <v>454</v>
      </c>
    </row>
    <row r="767" spans="2:16" ht="39.75" customHeight="1">
      <c r="B767" s="25">
        <v>41060</v>
      </c>
      <c r="C767" s="340" t="s">
        <v>456</v>
      </c>
      <c r="D767" s="2" t="s">
        <v>1050</v>
      </c>
      <c r="E767" s="1" t="s">
        <v>489</v>
      </c>
      <c r="F767" s="17" t="s">
        <v>457</v>
      </c>
      <c r="G767" s="2" t="s">
        <v>1836</v>
      </c>
      <c r="H767" s="2" t="s">
        <v>437</v>
      </c>
      <c r="I767" s="363">
        <v>8797.5</v>
      </c>
      <c r="J767" s="342">
        <v>39.02</v>
      </c>
      <c r="K767" s="357">
        <f t="shared" si="34"/>
        <v>225.46130189646334</v>
      </c>
      <c r="L767" s="476">
        <v>120</v>
      </c>
      <c r="M767" s="343">
        <f t="shared" si="35"/>
        <v>146.625</v>
      </c>
      <c r="N767" s="344">
        <f ca="1" t="shared" si="33"/>
        <v>117</v>
      </c>
      <c r="O767" s="33">
        <v>513.1875</v>
      </c>
      <c r="P767" s="340" t="s">
        <v>491</v>
      </c>
    </row>
    <row r="768" spans="2:16" ht="39.75" customHeight="1">
      <c r="B768" s="25">
        <v>41060</v>
      </c>
      <c r="C768" s="340" t="s">
        <v>456</v>
      </c>
      <c r="D768" s="2" t="s">
        <v>1051</v>
      </c>
      <c r="E768" s="1" t="s">
        <v>489</v>
      </c>
      <c r="F768" s="17" t="s">
        <v>458</v>
      </c>
      <c r="G768" s="2" t="s">
        <v>1836</v>
      </c>
      <c r="H768" s="2" t="s">
        <v>437</v>
      </c>
      <c r="I768" s="363">
        <v>8797.5</v>
      </c>
      <c r="J768" s="342">
        <v>39.02</v>
      </c>
      <c r="K768" s="357">
        <f t="shared" si="34"/>
        <v>225.46130189646334</v>
      </c>
      <c r="L768" s="476">
        <v>120</v>
      </c>
      <c r="M768" s="343">
        <f t="shared" si="35"/>
        <v>146.625</v>
      </c>
      <c r="N768" s="344">
        <f ca="1" t="shared" si="33"/>
        <v>117</v>
      </c>
      <c r="O768" s="33">
        <v>513.1875</v>
      </c>
      <c r="P768" s="340" t="s">
        <v>491</v>
      </c>
    </row>
    <row r="769" spans="2:16" ht="39.75" customHeight="1">
      <c r="B769" s="25">
        <v>41060</v>
      </c>
      <c r="C769" s="340" t="s">
        <v>456</v>
      </c>
      <c r="D769" s="2" t="s">
        <v>1052</v>
      </c>
      <c r="E769" s="1" t="s">
        <v>489</v>
      </c>
      <c r="F769" s="17" t="s">
        <v>459</v>
      </c>
      <c r="G769" s="2" t="s">
        <v>1836</v>
      </c>
      <c r="H769" s="2" t="s">
        <v>437</v>
      </c>
      <c r="I769" s="363">
        <v>8797.5</v>
      </c>
      <c r="J769" s="342">
        <v>39.02</v>
      </c>
      <c r="K769" s="357">
        <f t="shared" si="34"/>
        <v>225.46130189646334</v>
      </c>
      <c r="L769" s="476">
        <v>120</v>
      </c>
      <c r="M769" s="343">
        <f t="shared" si="35"/>
        <v>146.625</v>
      </c>
      <c r="N769" s="344">
        <f ca="1" t="shared" si="33"/>
        <v>117</v>
      </c>
      <c r="O769" s="33">
        <v>513.1875</v>
      </c>
      <c r="P769" s="340" t="s">
        <v>491</v>
      </c>
    </row>
    <row r="770" spans="2:16" ht="39.75" customHeight="1">
      <c r="B770" s="25">
        <v>41060</v>
      </c>
      <c r="C770" s="340" t="s">
        <v>456</v>
      </c>
      <c r="D770" s="2" t="s">
        <v>1053</v>
      </c>
      <c r="E770" s="1" t="s">
        <v>489</v>
      </c>
      <c r="F770" s="17" t="s">
        <v>460</v>
      </c>
      <c r="G770" s="2" t="s">
        <v>1836</v>
      </c>
      <c r="H770" s="2" t="s">
        <v>437</v>
      </c>
      <c r="I770" s="363">
        <v>8797.5</v>
      </c>
      <c r="J770" s="342">
        <v>39.02</v>
      </c>
      <c r="K770" s="357">
        <f t="shared" si="34"/>
        <v>225.46130189646334</v>
      </c>
      <c r="L770" s="476">
        <v>120</v>
      </c>
      <c r="M770" s="343">
        <f t="shared" si="35"/>
        <v>146.625</v>
      </c>
      <c r="N770" s="344">
        <f ca="1" t="shared" si="33"/>
        <v>117</v>
      </c>
      <c r="O770" s="33">
        <v>513.1875</v>
      </c>
      <c r="P770" s="340" t="s">
        <v>491</v>
      </c>
    </row>
    <row r="771" spans="2:16" ht="39.75" customHeight="1">
      <c r="B771" s="25">
        <v>41122</v>
      </c>
      <c r="C771" s="340" t="s">
        <v>534</v>
      </c>
      <c r="D771" s="2" t="s">
        <v>1049</v>
      </c>
      <c r="E771" s="26" t="s">
        <v>535</v>
      </c>
      <c r="F771" s="2" t="s">
        <v>42</v>
      </c>
      <c r="G771" s="2" t="s">
        <v>1836</v>
      </c>
      <c r="H771" s="2" t="s">
        <v>437</v>
      </c>
      <c r="I771" s="356">
        <v>3961.21</v>
      </c>
      <c r="J771" s="342">
        <v>39.1</v>
      </c>
      <c r="K771" s="357">
        <f t="shared" si="34"/>
        <v>101.30971867007672</v>
      </c>
      <c r="L771" s="476">
        <v>60</v>
      </c>
      <c r="M771" s="343">
        <f t="shared" si="35"/>
        <v>660.2016666666667</v>
      </c>
      <c r="N771" s="344">
        <f ca="1" t="shared" si="33"/>
        <v>115</v>
      </c>
      <c r="O771" s="33">
        <v>297.09074999999984</v>
      </c>
      <c r="P771" s="340" t="s">
        <v>32</v>
      </c>
    </row>
    <row r="772" spans="2:16" ht="39.75" customHeight="1">
      <c r="B772" s="25">
        <v>41243</v>
      </c>
      <c r="C772" s="340" t="s">
        <v>536</v>
      </c>
      <c r="D772" s="2" t="s">
        <v>1268</v>
      </c>
      <c r="E772" s="26" t="s">
        <v>539</v>
      </c>
      <c r="F772" s="2" t="s">
        <v>540</v>
      </c>
      <c r="G772" s="2" t="s">
        <v>1824</v>
      </c>
      <c r="H772" s="2" t="s">
        <v>537</v>
      </c>
      <c r="I772" s="356">
        <v>16000</v>
      </c>
      <c r="J772" s="347">
        <v>40.08</v>
      </c>
      <c r="K772" s="357">
        <f t="shared" si="34"/>
        <v>399.2015968063872</v>
      </c>
      <c r="L772" s="476">
        <v>60</v>
      </c>
      <c r="M772" s="343">
        <f t="shared" si="35"/>
        <v>266.6666666666667</v>
      </c>
      <c r="N772" s="344">
        <f ca="1" t="shared" si="33"/>
        <v>111</v>
      </c>
      <c r="O772" s="33">
        <v>1733.3333333333321</v>
      </c>
      <c r="P772" s="340" t="s">
        <v>538</v>
      </c>
    </row>
    <row r="773" spans="2:16" ht="39.75" customHeight="1">
      <c r="B773" s="25">
        <v>41319</v>
      </c>
      <c r="C773" s="340" t="s">
        <v>541</v>
      </c>
      <c r="D773" s="2" t="s">
        <v>1711</v>
      </c>
      <c r="E773" s="26" t="s">
        <v>555</v>
      </c>
      <c r="F773" s="2" t="s">
        <v>556</v>
      </c>
      <c r="G773" s="2" t="s">
        <v>821</v>
      </c>
      <c r="H773" s="2" t="s">
        <v>249</v>
      </c>
      <c r="I773" s="367">
        <v>34000</v>
      </c>
      <c r="J773" s="350">
        <v>40.8</v>
      </c>
      <c r="K773" s="357">
        <f t="shared" si="34"/>
        <v>833.3333333333334</v>
      </c>
      <c r="L773" s="479">
        <v>120</v>
      </c>
      <c r="M773" s="343">
        <f t="shared" si="35"/>
        <v>566.6666666666666</v>
      </c>
      <c r="N773" s="344">
        <f ca="1" t="shared" si="33"/>
        <v>108</v>
      </c>
      <c r="O773" s="33">
        <v>4533.333333333336</v>
      </c>
      <c r="P773" s="340" t="s">
        <v>542</v>
      </c>
    </row>
    <row r="774" spans="2:16" ht="39.75" customHeight="1">
      <c r="B774" s="25">
        <v>41355</v>
      </c>
      <c r="C774" s="340" t="s">
        <v>543</v>
      </c>
      <c r="D774" s="2" t="s">
        <v>1707</v>
      </c>
      <c r="E774" s="26" t="s">
        <v>545</v>
      </c>
      <c r="F774" s="2" t="s">
        <v>42</v>
      </c>
      <c r="G774" s="2" t="s">
        <v>821</v>
      </c>
      <c r="H774" s="2" t="s">
        <v>249</v>
      </c>
      <c r="I774" s="367">
        <v>90500</v>
      </c>
      <c r="J774" s="350">
        <v>41.05</v>
      </c>
      <c r="K774" s="357">
        <f t="shared" si="34"/>
        <v>2204.6285018270405</v>
      </c>
      <c r="L774" s="479">
        <v>60</v>
      </c>
      <c r="M774" s="343">
        <f t="shared" si="35"/>
        <v>1508.3333333333333</v>
      </c>
      <c r="N774" s="344">
        <f ca="1" t="shared" si="33"/>
        <v>107</v>
      </c>
      <c r="O774" s="33">
        <v>12820.833333333343</v>
      </c>
      <c r="P774" s="340" t="s">
        <v>544</v>
      </c>
    </row>
    <row r="775" spans="2:16" ht="39.75" customHeight="1">
      <c r="B775" s="25">
        <v>41355</v>
      </c>
      <c r="C775" s="340" t="s">
        <v>543</v>
      </c>
      <c r="D775" s="2" t="s">
        <v>1702</v>
      </c>
      <c r="E775" s="26" t="s">
        <v>557</v>
      </c>
      <c r="F775" s="2" t="s">
        <v>42</v>
      </c>
      <c r="G775" s="2" t="s">
        <v>821</v>
      </c>
      <c r="H775" s="2" t="s">
        <v>249</v>
      </c>
      <c r="I775" s="367">
        <v>7616</v>
      </c>
      <c r="J775" s="350">
        <v>41.05</v>
      </c>
      <c r="K775" s="357">
        <f t="shared" si="34"/>
        <v>185.52984165651645</v>
      </c>
      <c r="L775" s="479">
        <v>60</v>
      </c>
      <c r="M775" s="343">
        <f t="shared" si="35"/>
        <v>126.93333333333334</v>
      </c>
      <c r="N775" s="344">
        <f ca="1" t="shared" si="33"/>
        <v>107</v>
      </c>
      <c r="O775" s="33">
        <v>1078.9333333333334</v>
      </c>
      <c r="P775" s="340" t="s">
        <v>544</v>
      </c>
    </row>
    <row r="776" spans="2:16" ht="39.75" customHeight="1">
      <c r="B776" s="25">
        <v>41355</v>
      </c>
      <c r="C776" s="340" t="s">
        <v>543</v>
      </c>
      <c r="D776" s="2" t="s">
        <v>1703</v>
      </c>
      <c r="E776" s="26" t="s">
        <v>557</v>
      </c>
      <c r="F776" s="2" t="s">
        <v>42</v>
      </c>
      <c r="G776" s="2" t="s">
        <v>821</v>
      </c>
      <c r="H776" s="2" t="s">
        <v>249</v>
      </c>
      <c r="I776" s="367">
        <v>7616</v>
      </c>
      <c r="J776" s="350">
        <v>41.05</v>
      </c>
      <c r="K776" s="357">
        <f t="shared" si="34"/>
        <v>185.52984165651645</v>
      </c>
      <c r="L776" s="479">
        <v>60</v>
      </c>
      <c r="M776" s="343">
        <f t="shared" si="35"/>
        <v>126.93333333333334</v>
      </c>
      <c r="N776" s="344">
        <f aca="true" ca="1" t="shared" si="36" ref="N776:N839">IF(B776&lt;&gt;0,(ROUND((NOW()-B776)/30,0)),0)</f>
        <v>107</v>
      </c>
      <c r="O776" s="33">
        <v>1078.9333333333334</v>
      </c>
      <c r="P776" s="340" t="s">
        <v>544</v>
      </c>
    </row>
    <row r="777" spans="2:16" ht="39.75" customHeight="1">
      <c r="B777" s="25">
        <v>41355</v>
      </c>
      <c r="C777" s="340" t="s">
        <v>543</v>
      </c>
      <c r="D777" s="2" t="s">
        <v>1708</v>
      </c>
      <c r="E777" s="26" t="s">
        <v>546</v>
      </c>
      <c r="F777" s="2" t="s">
        <v>42</v>
      </c>
      <c r="G777" s="2" t="s">
        <v>821</v>
      </c>
      <c r="H777" s="2" t="s">
        <v>249</v>
      </c>
      <c r="I777" s="367">
        <v>4611</v>
      </c>
      <c r="J777" s="350">
        <v>41.05</v>
      </c>
      <c r="K777" s="357">
        <f aca="true" t="shared" si="37" ref="K777:K840">+I777/J777</f>
        <v>112.326431181486</v>
      </c>
      <c r="L777" s="479">
        <v>60</v>
      </c>
      <c r="M777" s="343">
        <f t="shared" si="35"/>
        <v>76.85</v>
      </c>
      <c r="N777" s="344">
        <f ca="1" t="shared" si="36"/>
        <v>107</v>
      </c>
      <c r="O777" s="33">
        <v>653.2250000000004</v>
      </c>
      <c r="P777" s="340" t="s">
        <v>544</v>
      </c>
    </row>
    <row r="778" spans="2:16" ht="39.75" customHeight="1">
      <c r="B778" s="25">
        <v>41355</v>
      </c>
      <c r="C778" s="340" t="s">
        <v>543</v>
      </c>
      <c r="D778" s="2" t="s">
        <v>1710</v>
      </c>
      <c r="E778" s="26" t="s">
        <v>546</v>
      </c>
      <c r="F778" s="2" t="s">
        <v>42</v>
      </c>
      <c r="G778" s="2" t="s">
        <v>821</v>
      </c>
      <c r="H778" s="2" t="s">
        <v>249</v>
      </c>
      <c r="I778" s="367">
        <v>4611</v>
      </c>
      <c r="J778" s="350">
        <v>41.05</v>
      </c>
      <c r="K778" s="357">
        <f t="shared" si="37"/>
        <v>112.326431181486</v>
      </c>
      <c r="L778" s="479">
        <v>60</v>
      </c>
      <c r="M778" s="343">
        <f aca="true" t="shared" si="38" ref="M778:M842">+I778/L858</f>
        <v>76.85</v>
      </c>
      <c r="N778" s="344">
        <f ca="1" t="shared" si="36"/>
        <v>107</v>
      </c>
      <c r="O778" s="33">
        <v>653.2250000000004</v>
      </c>
      <c r="P778" s="340" t="s">
        <v>544</v>
      </c>
    </row>
    <row r="779" spans="2:16" ht="39.75" customHeight="1">
      <c r="B779" s="25">
        <v>41355</v>
      </c>
      <c r="C779" s="340" t="s">
        <v>547</v>
      </c>
      <c r="D779" s="2" t="s">
        <v>1709</v>
      </c>
      <c r="E779" s="26" t="s">
        <v>548</v>
      </c>
      <c r="F779" s="2" t="s">
        <v>42</v>
      </c>
      <c r="G779" s="2" t="s">
        <v>821</v>
      </c>
      <c r="H779" s="2" t="s">
        <v>249</v>
      </c>
      <c r="I779" s="367">
        <v>3526</v>
      </c>
      <c r="J779" s="350">
        <v>41.05</v>
      </c>
      <c r="K779" s="357">
        <f t="shared" si="37"/>
        <v>85.8952496954933</v>
      </c>
      <c r="L779" s="479">
        <v>60</v>
      </c>
      <c r="M779" s="343">
        <f t="shared" si="38"/>
        <v>58.766666666666666</v>
      </c>
      <c r="N779" s="344">
        <f ca="1" t="shared" si="36"/>
        <v>107</v>
      </c>
      <c r="O779" s="33">
        <v>499.5166666666669</v>
      </c>
      <c r="P779" s="340" t="s">
        <v>549</v>
      </c>
    </row>
    <row r="780" spans="2:16" ht="39.75" customHeight="1">
      <c r="B780" s="25">
        <v>41355</v>
      </c>
      <c r="C780" s="340" t="s">
        <v>547</v>
      </c>
      <c r="D780" s="2" t="s">
        <v>1712</v>
      </c>
      <c r="E780" s="26" t="s">
        <v>548</v>
      </c>
      <c r="F780" s="2" t="s">
        <v>42</v>
      </c>
      <c r="G780" s="2" t="s">
        <v>821</v>
      </c>
      <c r="H780" s="2" t="s">
        <v>249</v>
      </c>
      <c r="I780" s="367">
        <v>3526</v>
      </c>
      <c r="J780" s="350">
        <v>41.05</v>
      </c>
      <c r="K780" s="357">
        <f t="shared" si="37"/>
        <v>85.8952496954933</v>
      </c>
      <c r="L780" s="479">
        <v>60</v>
      </c>
      <c r="M780" s="343">
        <f t="shared" si="38"/>
        <v>58.766666666666666</v>
      </c>
      <c r="N780" s="344">
        <f ca="1" t="shared" si="36"/>
        <v>107</v>
      </c>
      <c r="O780" s="33">
        <v>499.5166666666669</v>
      </c>
      <c r="P780" s="340" t="s">
        <v>549</v>
      </c>
    </row>
    <row r="781" spans="2:16" ht="39.75" customHeight="1">
      <c r="B781" s="25">
        <v>41418</v>
      </c>
      <c r="C781" s="340" t="s">
        <v>551</v>
      </c>
      <c r="D781" s="2" t="s">
        <v>1795</v>
      </c>
      <c r="E781" s="1" t="s">
        <v>552</v>
      </c>
      <c r="F781" s="17" t="s">
        <v>558</v>
      </c>
      <c r="G781" s="2" t="s">
        <v>553</v>
      </c>
      <c r="H781" s="2" t="s">
        <v>437</v>
      </c>
      <c r="I781" s="367">
        <v>9735</v>
      </c>
      <c r="J781" s="350">
        <v>41.13</v>
      </c>
      <c r="K781" s="357">
        <f t="shared" si="37"/>
        <v>236.68854850474105</v>
      </c>
      <c r="L781" s="479">
        <v>60</v>
      </c>
      <c r="M781" s="343">
        <f t="shared" si="38"/>
        <v>162.25</v>
      </c>
      <c r="N781" s="344">
        <f ca="1" t="shared" si="36"/>
        <v>105</v>
      </c>
      <c r="O781" s="33">
        <v>1541.375</v>
      </c>
      <c r="P781" s="340" t="s">
        <v>32</v>
      </c>
    </row>
    <row r="782" spans="2:16" ht="39.75" customHeight="1">
      <c r="B782" s="25">
        <v>41425</v>
      </c>
      <c r="C782" s="340" t="s">
        <v>577</v>
      </c>
      <c r="D782" s="2" t="s">
        <v>1007</v>
      </c>
      <c r="E782" s="1" t="s">
        <v>578</v>
      </c>
      <c r="F782" s="17" t="s">
        <v>579</v>
      </c>
      <c r="G782" s="2" t="s">
        <v>3706</v>
      </c>
      <c r="H782" s="2" t="s">
        <v>437</v>
      </c>
      <c r="I782" s="368">
        <v>57907.62</v>
      </c>
      <c r="J782" s="350">
        <v>41.2</v>
      </c>
      <c r="K782" s="357">
        <f t="shared" si="37"/>
        <v>1405.5247572815533</v>
      </c>
      <c r="L782" s="479">
        <v>60</v>
      </c>
      <c r="M782" s="343">
        <f t="shared" si="38"/>
        <v>965.1270000000001</v>
      </c>
      <c r="N782" s="344">
        <f ca="1" t="shared" si="36"/>
        <v>105</v>
      </c>
      <c r="O782" s="33">
        <v>9168.7065</v>
      </c>
      <c r="P782" s="340" t="s">
        <v>554</v>
      </c>
    </row>
    <row r="783" spans="2:16" ht="39.75" customHeight="1">
      <c r="B783" s="25">
        <v>41425</v>
      </c>
      <c r="C783" s="340" t="s">
        <v>563</v>
      </c>
      <c r="D783" s="2" t="s">
        <v>1045</v>
      </c>
      <c r="E783" s="1" t="s">
        <v>564</v>
      </c>
      <c r="F783" s="17" t="s">
        <v>3452</v>
      </c>
      <c r="G783" s="2" t="s">
        <v>3652</v>
      </c>
      <c r="H783" s="2" t="s">
        <v>437</v>
      </c>
      <c r="I783" s="368">
        <v>47097.79</v>
      </c>
      <c r="J783" s="350">
        <v>41.1788</v>
      </c>
      <c r="K783" s="357">
        <f t="shared" si="37"/>
        <v>1143.7387684925252</v>
      </c>
      <c r="L783" s="479">
        <v>60</v>
      </c>
      <c r="M783" s="343">
        <f t="shared" si="38"/>
        <v>784.9631666666667</v>
      </c>
      <c r="N783" s="344">
        <f ca="1" t="shared" si="36"/>
        <v>105</v>
      </c>
      <c r="O783" s="33">
        <v>7457.150083333334</v>
      </c>
      <c r="P783" s="340" t="s">
        <v>554</v>
      </c>
    </row>
    <row r="784" spans="2:16" ht="39.75" customHeight="1">
      <c r="B784" s="25">
        <v>41425</v>
      </c>
      <c r="C784" s="340" t="s">
        <v>563</v>
      </c>
      <c r="D784" s="2" t="s">
        <v>1037</v>
      </c>
      <c r="E784" s="1" t="s">
        <v>564</v>
      </c>
      <c r="F784" s="17" t="s">
        <v>3444</v>
      </c>
      <c r="G784" s="2" t="s">
        <v>2633</v>
      </c>
      <c r="H784" s="2" t="s">
        <v>437</v>
      </c>
      <c r="I784" s="368">
        <v>47097.79</v>
      </c>
      <c r="J784" s="350">
        <v>41.1788</v>
      </c>
      <c r="K784" s="357">
        <f t="shared" si="37"/>
        <v>1143.7387684925252</v>
      </c>
      <c r="L784" s="479">
        <v>60</v>
      </c>
      <c r="M784" s="343">
        <f t="shared" si="38"/>
        <v>784.9631666666667</v>
      </c>
      <c r="N784" s="344">
        <f ca="1" t="shared" si="36"/>
        <v>105</v>
      </c>
      <c r="O784" s="33">
        <v>7457.150083333334</v>
      </c>
      <c r="P784" s="340" t="s">
        <v>554</v>
      </c>
    </row>
    <row r="785" spans="2:16" ht="39.75" customHeight="1">
      <c r="B785" s="25">
        <v>41425</v>
      </c>
      <c r="C785" s="340" t="s">
        <v>563</v>
      </c>
      <c r="D785" s="2" t="s">
        <v>1038</v>
      </c>
      <c r="E785" s="1" t="s">
        <v>564</v>
      </c>
      <c r="F785" s="17" t="s">
        <v>3431</v>
      </c>
      <c r="G785" s="2" t="s">
        <v>3653</v>
      </c>
      <c r="H785" s="2" t="s">
        <v>437</v>
      </c>
      <c r="I785" s="368">
        <v>47097.79</v>
      </c>
      <c r="J785" s="350">
        <v>41.1788</v>
      </c>
      <c r="K785" s="357">
        <f t="shared" si="37"/>
        <v>1143.7387684925252</v>
      </c>
      <c r="L785" s="479">
        <v>60</v>
      </c>
      <c r="M785" s="343">
        <f t="shared" si="38"/>
        <v>784.9631666666667</v>
      </c>
      <c r="N785" s="344">
        <f ca="1" t="shared" si="36"/>
        <v>105</v>
      </c>
      <c r="O785" s="33">
        <v>7457.150083333334</v>
      </c>
      <c r="P785" s="340" t="s">
        <v>554</v>
      </c>
    </row>
    <row r="786" spans="2:16" ht="39.75" customHeight="1">
      <c r="B786" s="25">
        <v>41425</v>
      </c>
      <c r="C786" s="340" t="s">
        <v>563</v>
      </c>
      <c r="D786" s="2" t="s">
        <v>1021</v>
      </c>
      <c r="E786" s="1" t="s">
        <v>564</v>
      </c>
      <c r="F786" s="17" t="s">
        <v>568</v>
      </c>
      <c r="G786" s="2" t="s">
        <v>2624</v>
      </c>
      <c r="H786" s="2" t="s">
        <v>437</v>
      </c>
      <c r="I786" s="368">
        <v>47097.79</v>
      </c>
      <c r="J786" s="350">
        <v>41.1788</v>
      </c>
      <c r="K786" s="357">
        <f t="shared" si="37"/>
        <v>1143.7387684925252</v>
      </c>
      <c r="L786" s="479">
        <v>60</v>
      </c>
      <c r="M786" s="343">
        <f t="shared" si="38"/>
        <v>784.9631666666667</v>
      </c>
      <c r="N786" s="344">
        <f ca="1" t="shared" si="36"/>
        <v>105</v>
      </c>
      <c r="O786" s="33">
        <v>7457.150083333334</v>
      </c>
      <c r="P786" s="340" t="s">
        <v>554</v>
      </c>
    </row>
    <row r="787" spans="2:16" ht="39.75" customHeight="1">
      <c r="B787" s="25">
        <v>41425</v>
      </c>
      <c r="C787" s="340" t="s">
        <v>563</v>
      </c>
      <c r="D787" s="2" t="s">
        <v>1027</v>
      </c>
      <c r="E787" s="1" t="s">
        <v>564</v>
      </c>
      <c r="F787" s="17" t="s">
        <v>572</v>
      </c>
      <c r="G787" s="2" t="s">
        <v>2627</v>
      </c>
      <c r="H787" s="2" t="s">
        <v>437</v>
      </c>
      <c r="I787" s="368">
        <v>47097.79</v>
      </c>
      <c r="J787" s="350">
        <v>41.1788</v>
      </c>
      <c r="K787" s="357">
        <f t="shared" si="37"/>
        <v>1143.7387684925252</v>
      </c>
      <c r="L787" s="479">
        <v>60</v>
      </c>
      <c r="M787" s="343">
        <f t="shared" si="38"/>
        <v>784.9631666666667</v>
      </c>
      <c r="N787" s="344">
        <f ca="1" t="shared" si="36"/>
        <v>105</v>
      </c>
      <c r="O787" s="33">
        <v>7457.150083333334</v>
      </c>
      <c r="P787" s="340" t="s">
        <v>554</v>
      </c>
    </row>
    <row r="788" spans="2:16" ht="39.75" customHeight="1">
      <c r="B788" s="25">
        <v>41425</v>
      </c>
      <c r="C788" s="340" t="s">
        <v>563</v>
      </c>
      <c r="D788" s="2" t="s">
        <v>1032</v>
      </c>
      <c r="E788" s="1" t="s">
        <v>564</v>
      </c>
      <c r="F788" s="17" t="s">
        <v>3430</v>
      </c>
      <c r="G788" s="2" t="s">
        <v>3171</v>
      </c>
      <c r="H788" s="2" t="s">
        <v>437</v>
      </c>
      <c r="I788" s="368">
        <v>47097.79</v>
      </c>
      <c r="J788" s="350">
        <v>41.1788</v>
      </c>
      <c r="K788" s="357">
        <f t="shared" si="37"/>
        <v>1143.7387684925252</v>
      </c>
      <c r="L788" s="479">
        <v>60</v>
      </c>
      <c r="M788" s="343">
        <f t="shared" si="38"/>
        <v>784.9631666666667</v>
      </c>
      <c r="N788" s="344">
        <f ca="1" t="shared" si="36"/>
        <v>105</v>
      </c>
      <c r="O788" s="33">
        <v>7457.150083333334</v>
      </c>
      <c r="P788" s="340" t="s">
        <v>554</v>
      </c>
    </row>
    <row r="789" spans="2:16" ht="39.75" customHeight="1">
      <c r="B789" s="25">
        <v>41425</v>
      </c>
      <c r="C789" s="340" t="s">
        <v>563</v>
      </c>
      <c r="D789" s="2" t="s">
        <v>1044</v>
      </c>
      <c r="E789" s="1" t="s">
        <v>564</v>
      </c>
      <c r="F789" s="17" t="s">
        <v>3442</v>
      </c>
      <c r="G789" s="2" t="s">
        <v>3169</v>
      </c>
      <c r="H789" s="2" t="s">
        <v>437</v>
      </c>
      <c r="I789" s="368">
        <v>47097.79</v>
      </c>
      <c r="J789" s="350">
        <v>41.1788</v>
      </c>
      <c r="K789" s="357">
        <f t="shared" si="37"/>
        <v>1143.7387684925252</v>
      </c>
      <c r="L789" s="479">
        <v>60</v>
      </c>
      <c r="M789" s="343">
        <f t="shared" si="38"/>
        <v>784.9631666666667</v>
      </c>
      <c r="N789" s="344">
        <f ca="1" t="shared" si="36"/>
        <v>105</v>
      </c>
      <c r="O789" s="33">
        <v>7457.150083333334</v>
      </c>
      <c r="P789" s="340" t="s">
        <v>554</v>
      </c>
    </row>
    <row r="790" spans="2:16" ht="39.75" customHeight="1">
      <c r="B790" s="25">
        <v>41425</v>
      </c>
      <c r="C790" s="340" t="s">
        <v>563</v>
      </c>
      <c r="D790" s="2" t="s">
        <v>1020</v>
      </c>
      <c r="E790" s="1" t="s">
        <v>564</v>
      </c>
      <c r="F790" s="17" t="s">
        <v>3425</v>
      </c>
      <c r="G790" s="2" t="s">
        <v>2620</v>
      </c>
      <c r="H790" s="2" t="s">
        <v>437</v>
      </c>
      <c r="I790" s="368">
        <v>47097.79</v>
      </c>
      <c r="J790" s="350">
        <v>41.1788</v>
      </c>
      <c r="K790" s="357">
        <f t="shared" si="37"/>
        <v>1143.7387684925252</v>
      </c>
      <c r="L790" s="479">
        <v>60</v>
      </c>
      <c r="M790" s="343">
        <f t="shared" si="38"/>
        <v>784.9631666666667</v>
      </c>
      <c r="N790" s="344">
        <f ca="1" t="shared" si="36"/>
        <v>105</v>
      </c>
      <c r="O790" s="33">
        <v>7457.150083333334</v>
      </c>
      <c r="P790" s="340" t="s">
        <v>554</v>
      </c>
    </row>
    <row r="791" spans="2:16" ht="39.75" customHeight="1">
      <c r="B791" s="25">
        <v>41425</v>
      </c>
      <c r="C791" s="340" t="s">
        <v>563</v>
      </c>
      <c r="D791" s="2" t="s">
        <v>1033</v>
      </c>
      <c r="E791" s="1" t="s">
        <v>564</v>
      </c>
      <c r="F791" s="17" t="s">
        <v>3427</v>
      </c>
      <c r="G791" s="2" t="s">
        <v>2630</v>
      </c>
      <c r="H791" s="2" t="s">
        <v>437</v>
      </c>
      <c r="I791" s="368">
        <v>47097.79</v>
      </c>
      <c r="J791" s="350">
        <v>41.1788</v>
      </c>
      <c r="K791" s="357">
        <f t="shared" si="37"/>
        <v>1143.7387684925252</v>
      </c>
      <c r="L791" s="479">
        <v>60</v>
      </c>
      <c r="M791" s="343">
        <f t="shared" si="38"/>
        <v>784.9631666666667</v>
      </c>
      <c r="N791" s="344">
        <f ca="1" t="shared" si="36"/>
        <v>105</v>
      </c>
      <c r="O791" s="33">
        <v>7457.150083333334</v>
      </c>
      <c r="P791" s="340" t="s">
        <v>554</v>
      </c>
    </row>
    <row r="792" spans="2:16" ht="39.75" customHeight="1">
      <c r="B792" s="25">
        <v>41425</v>
      </c>
      <c r="C792" s="340" t="s">
        <v>563</v>
      </c>
      <c r="D792" s="2" t="s">
        <v>1047</v>
      </c>
      <c r="E792" s="1" t="s">
        <v>564</v>
      </c>
      <c r="F792" s="17" t="s">
        <v>575</v>
      </c>
      <c r="G792" s="2" t="s">
        <v>2635</v>
      </c>
      <c r="H792" s="2" t="s">
        <v>437</v>
      </c>
      <c r="I792" s="368">
        <v>47097.79</v>
      </c>
      <c r="J792" s="350">
        <v>41.1788</v>
      </c>
      <c r="K792" s="357">
        <f t="shared" si="37"/>
        <v>1143.7387684925252</v>
      </c>
      <c r="L792" s="479">
        <v>60</v>
      </c>
      <c r="M792" s="343">
        <f t="shared" si="38"/>
        <v>784.9631666666667</v>
      </c>
      <c r="N792" s="344">
        <f ca="1" t="shared" si="36"/>
        <v>105</v>
      </c>
      <c r="O792" s="33">
        <v>7457.150083333334</v>
      </c>
      <c r="P792" s="340" t="s">
        <v>554</v>
      </c>
    </row>
    <row r="793" spans="2:16" ht="39.75" customHeight="1">
      <c r="B793" s="25">
        <v>41425</v>
      </c>
      <c r="C793" s="340" t="s">
        <v>563</v>
      </c>
      <c r="D793" s="2" t="s">
        <v>1048</v>
      </c>
      <c r="E793" s="1" t="s">
        <v>564</v>
      </c>
      <c r="F793" s="17" t="s">
        <v>576</v>
      </c>
      <c r="G793" s="2" t="s">
        <v>3409</v>
      </c>
      <c r="H793" s="2" t="s">
        <v>437</v>
      </c>
      <c r="I793" s="368">
        <v>47097.79</v>
      </c>
      <c r="J793" s="350">
        <v>41.1788</v>
      </c>
      <c r="K793" s="357">
        <f t="shared" si="37"/>
        <v>1143.7387684925252</v>
      </c>
      <c r="L793" s="479">
        <v>60</v>
      </c>
      <c r="M793" s="343">
        <f t="shared" si="38"/>
        <v>784.9631666666667</v>
      </c>
      <c r="N793" s="344">
        <f ca="1" t="shared" si="36"/>
        <v>105</v>
      </c>
      <c r="O793" s="33">
        <v>7457.150083333334</v>
      </c>
      <c r="P793" s="340" t="s">
        <v>554</v>
      </c>
    </row>
    <row r="794" spans="2:16" ht="39.75" customHeight="1">
      <c r="B794" s="25">
        <v>41425</v>
      </c>
      <c r="C794" s="340" t="s">
        <v>563</v>
      </c>
      <c r="D794" s="2" t="s">
        <v>1043</v>
      </c>
      <c r="E794" s="1" t="s">
        <v>564</v>
      </c>
      <c r="F794" s="17" t="s">
        <v>574</v>
      </c>
      <c r="G794" s="2" t="s">
        <v>3654</v>
      </c>
      <c r="H794" s="2" t="s">
        <v>437</v>
      </c>
      <c r="I794" s="368">
        <v>47097.79</v>
      </c>
      <c r="J794" s="350">
        <v>41.1788</v>
      </c>
      <c r="K794" s="357">
        <f t="shared" si="37"/>
        <v>1143.7387684925252</v>
      </c>
      <c r="L794" s="479">
        <v>60</v>
      </c>
      <c r="M794" s="343">
        <f t="shared" si="38"/>
        <v>784.9631666666667</v>
      </c>
      <c r="N794" s="344">
        <f ca="1" t="shared" si="36"/>
        <v>105</v>
      </c>
      <c r="O794" s="33">
        <v>7457.150083333334</v>
      </c>
      <c r="P794" s="340" t="s">
        <v>554</v>
      </c>
    </row>
    <row r="795" spans="2:16" ht="39.75" customHeight="1">
      <c r="B795" s="25">
        <v>41425</v>
      </c>
      <c r="C795" s="340" t="s">
        <v>563</v>
      </c>
      <c r="D795" s="2" t="s">
        <v>1046</v>
      </c>
      <c r="E795" s="1" t="s">
        <v>564</v>
      </c>
      <c r="F795" s="17" t="s">
        <v>3447</v>
      </c>
      <c r="G795" s="2" t="s">
        <v>3407</v>
      </c>
      <c r="H795" s="2" t="s">
        <v>437</v>
      </c>
      <c r="I795" s="368">
        <v>47097.79</v>
      </c>
      <c r="J795" s="350">
        <v>41.1788</v>
      </c>
      <c r="K795" s="357">
        <f t="shared" si="37"/>
        <v>1143.7387684925252</v>
      </c>
      <c r="L795" s="479">
        <v>60</v>
      </c>
      <c r="M795" s="343">
        <f t="shared" si="38"/>
        <v>784.9631666666667</v>
      </c>
      <c r="N795" s="344">
        <f ca="1" t="shared" si="36"/>
        <v>105</v>
      </c>
      <c r="O795" s="33">
        <v>7457.150083333334</v>
      </c>
      <c r="P795" s="340" t="s">
        <v>554</v>
      </c>
    </row>
    <row r="796" spans="2:16" ht="39.75" customHeight="1">
      <c r="B796" s="25">
        <v>41425</v>
      </c>
      <c r="C796" s="340" t="s">
        <v>563</v>
      </c>
      <c r="D796" s="2" t="s">
        <v>1040</v>
      </c>
      <c r="E796" s="1" t="s">
        <v>564</v>
      </c>
      <c r="F796" s="17" t="s">
        <v>3448</v>
      </c>
      <c r="G796" s="2" t="s">
        <v>3655</v>
      </c>
      <c r="H796" s="2" t="s">
        <v>437</v>
      </c>
      <c r="I796" s="368">
        <v>47097.79</v>
      </c>
      <c r="J796" s="350">
        <v>41.1788</v>
      </c>
      <c r="K796" s="357">
        <f t="shared" si="37"/>
        <v>1143.7387684925252</v>
      </c>
      <c r="L796" s="479">
        <v>60</v>
      </c>
      <c r="M796" s="343">
        <f t="shared" si="38"/>
        <v>784.9631666666667</v>
      </c>
      <c r="N796" s="344">
        <f ca="1" t="shared" si="36"/>
        <v>105</v>
      </c>
      <c r="O796" s="33">
        <v>7457.150083333334</v>
      </c>
      <c r="P796" s="340" t="s">
        <v>554</v>
      </c>
    </row>
    <row r="797" spans="2:16" ht="39.75" customHeight="1">
      <c r="B797" s="25">
        <v>41425</v>
      </c>
      <c r="C797" s="340" t="s">
        <v>563</v>
      </c>
      <c r="D797" s="2" t="s">
        <v>1034</v>
      </c>
      <c r="E797" s="1" t="s">
        <v>564</v>
      </c>
      <c r="F797" s="17" t="s">
        <v>3450</v>
      </c>
      <c r="G797" s="2" t="s">
        <v>2631</v>
      </c>
      <c r="H797" s="2" t="s">
        <v>437</v>
      </c>
      <c r="I797" s="368">
        <v>47097.79</v>
      </c>
      <c r="J797" s="350">
        <v>41.1788</v>
      </c>
      <c r="K797" s="357">
        <f t="shared" si="37"/>
        <v>1143.7387684925252</v>
      </c>
      <c r="L797" s="479">
        <v>60</v>
      </c>
      <c r="M797" s="343">
        <f t="shared" si="38"/>
        <v>784.9631666666667</v>
      </c>
      <c r="N797" s="344">
        <f ca="1" t="shared" si="36"/>
        <v>105</v>
      </c>
      <c r="O797" s="33">
        <v>7457.150083333334</v>
      </c>
      <c r="P797" s="340" t="s">
        <v>554</v>
      </c>
    </row>
    <row r="798" spans="2:16" ht="39.75" customHeight="1">
      <c r="B798" s="25">
        <v>41425</v>
      </c>
      <c r="C798" s="340" t="s">
        <v>563</v>
      </c>
      <c r="D798" s="2" t="s">
        <v>1014</v>
      </c>
      <c r="E798" s="1" t="s">
        <v>564</v>
      </c>
      <c r="F798" s="17" t="s">
        <v>565</v>
      </c>
      <c r="G798" s="2" t="s">
        <v>3656</v>
      </c>
      <c r="H798" s="2" t="s">
        <v>437</v>
      </c>
      <c r="I798" s="368">
        <v>47097.79</v>
      </c>
      <c r="J798" s="350">
        <v>41.1788</v>
      </c>
      <c r="K798" s="357">
        <f t="shared" si="37"/>
        <v>1143.7387684925252</v>
      </c>
      <c r="L798" s="479">
        <v>60</v>
      </c>
      <c r="M798" s="343">
        <f t="shared" si="38"/>
        <v>784.9631666666667</v>
      </c>
      <c r="N798" s="344">
        <f ca="1" t="shared" si="36"/>
        <v>105</v>
      </c>
      <c r="O798" s="33">
        <v>7457.150083333334</v>
      </c>
      <c r="P798" s="340" t="s">
        <v>554</v>
      </c>
    </row>
    <row r="799" spans="2:16" ht="39.75" customHeight="1">
      <c r="B799" s="25">
        <v>41425</v>
      </c>
      <c r="C799" s="340" t="s">
        <v>563</v>
      </c>
      <c r="D799" s="2" t="s">
        <v>1030</v>
      </c>
      <c r="E799" s="1" t="s">
        <v>564</v>
      </c>
      <c r="F799" s="17" t="s">
        <v>3454</v>
      </c>
      <c r="G799" s="2" t="s">
        <v>3408</v>
      </c>
      <c r="H799" s="2" t="s">
        <v>437</v>
      </c>
      <c r="I799" s="368">
        <v>47097.79</v>
      </c>
      <c r="J799" s="350">
        <v>41.1788</v>
      </c>
      <c r="K799" s="357">
        <f t="shared" si="37"/>
        <v>1143.7387684925252</v>
      </c>
      <c r="L799" s="479">
        <v>60</v>
      </c>
      <c r="M799" s="343">
        <f t="shared" si="38"/>
        <v>784.9631666666667</v>
      </c>
      <c r="N799" s="344">
        <f ca="1" t="shared" si="36"/>
        <v>105</v>
      </c>
      <c r="O799" s="33">
        <v>7457.150083333334</v>
      </c>
      <c r="P799" s="340" t="s">
        <v>554</v>
      </c>
    </row>
    <row r="800" spans="2:16" ht="39.75" customHeight="1">
      <c r="B800" s="25">
        <v>41425</v>
      </c>
      <c r="C800" s="340" t="s">
        <v>563</v>
      </c>
      <c r="D800" s="2" t="s">
        <v>1031</v>
      </c>
      <c r="E800" s="1" t="s">
        <v>564</v>
      </c>
      <c r="F800" s="17" t="s">
        <v>3453</v>
      </c>
      <c r="G800" s="2" t="s">
        <v>2629</v>
      </c>
      <c r="H800" s="2" t="s">
        <v>437</v>
      </c>
      <c r="I800" s="368">
        <v>47097.79</v>
      </c>
      <c r="J800" s="350">
        <v>41.1788</v>
      </c>
      <c r="K800" s="357">
        <f t="shared" si="37"/>
        <v>1143.7387684925252</v>
      </c>
      <c r="L800" s="479">
        <v>60</v>
      </c>
      <c r="M800" s="343">
        <f t="shared" si="38"/>
        <v>784.9631666666667</v>
      </c>
      <c r="N800" s="344">
        <f ca="1" t="shared" si="36"/>
        <v>105</v>
      </c>
      <c r="O800" s="33">
        <v>7457.150083333334</v>
      </c>
      <c r="P800" s="340" t="s">
        <v>554</v>
      </c>
    </row>
    <row r="801" spans="2:16" ht="39.75" customHeight="1">
      <c r="B801" s="25">
        <v>41425</v>
      </c>
      <c r="C801" s="340" t="s">
        <v>563</v>
      </c>
      <c r="D801" s="2" t="s">
        <v>1041</v>
      </c>
      <c r="E801" s="1" t="s">
        <v>564</v>
      </c>
      <c r="F801" s="17" t="s">
        <v>573</v>
      </c>
      <c r="G801" s="2" t="s">
        <v>2634</v>
      </c>
      <c r="H801" s="2" t="s">
        <v>437</v>
      </c>
      <c r="I801" s="368">
        <v>47097.79</v>
      </c>
      <c r="J801" s="350">
        <v>41.1788</v>
      </c>
      <c r="K801" s="357">
        <f t="shared" si="37"/>
        <v>1143.7387684925252</v>
      </c>
      <c r="L801" s="479">
        <v>60</v>
      </c>
      <c r="M801" s="343">
        <f t="shared" si="38"/>
        <v>784.9631666666667</v>
      </c>
      <c r="N801" s="344">
        <f ca="1" t="shared" si="36"/>
        <v>105</v>
      </c>
      <c r="O801" s="33">
        <v>7457.150083333334</v>
      </c>
      <c r="P801" s="340" t="s">
        <v>554</v>
      </c>
    </row>
    <row r="802" spans="2:16" ht="39.75" customHeight="1">
      <c r="B802" s="25">
        <v>41425</v>
      </c>
      <c r="C802" s="340" t="s">
        <v>563</v>
      </c>
      <c r="D802" s="2" t="s">
        <v>1025</v>
      </c>
      <c r="E802" s="1" t="s">
        <v>564</v>
      </c>
      <c r="F802" s="17" t="s">
        <v>571</v>
      </c>
      <c r="G802" s="2" t="s">
        <v>2626</v>
      </c>
      <c r="H802" s="2" t="s">
        <v>437</v>
      </c>
      <c r="I802" s="368">
        <v>47097.79</v>
      </c>
      <c r="J802" s="350">
        <v>41.1788</v>
      </c>
      <c r="K802" s="357">
        <f t="shared" si="37"/>
        <v>1143.7387684925252</v>
      </c>
      <c r="L802" s="479">
        <v>60</v>
      </c>
      <c r="M802" s="343">
        <f t="shared" si="38"/>
        <v>784.9631666666667</v>
      </c>
      <c r="N802" s="344">
        <f ca="1" t="shared" si="36"/>
        <v>105</v>
      </c>
      <c r="O802" s="33">
        <v>7457.150083333334</v>
      </c>
      <c r="P802" s="340" t="s">
        <v>554</v>
      </c>
    </row>
    <row r="803" spans="2:16" ht="39.75" customHeight="1">
      <c r="B803" s="25">
        <v>41425</v>
      </c>
      <c r="C803" s="340" t="s">
        <v>563</v>
      </c>
      <c r="D803" s="2" t="s">
        <v>1017</v>
      </c>
      <c r="E803" s="1" t="s">
        <v>564</v>
      </c>
      <c r="F803" s="17" t="s">
        <v>3445</v>
      </c>
      <c r="G803" s="2" t="s">
        <v>3657</v>
      </c>
      <c r="H803" s="2" t="s">
        <v>437</v>
      </c>
      <c r="I803" s="368">
        <v>47097.79</v>
      </c>
      <c r="J803" s="350">
        <v>41.1788</v>
      </c>
      <c r="K803" s="357">
        <f t="shared" si="37"/>
        <v>1143.7387684925252</v>
      </c>
      <c r="L803" s="479">
        <v>60</v>
      </c>
      <c r="M803" s="343">
        <f t="shared" si="38"/>
        <v>784.9631666666667</v>
      </c>
      <c r="N803" s="344">
        <f ca="1" t="shared" si="36"/>
        <v>105</v>
      </c>
      <c r="O803" s="33">
        <v>7457.150083333334</v>
      </c>
      <c r="P803" s="340" t="s">
        <v>554</v>
      </c>
    </row>
    <row r="804" spans="2:16" ht="39.75" customHeight="1">
      <c r="B804" s="25">
        <v>41425</v>
      </c>
      <c r="C804" s="340" t="s">
        <v>563</v>
      </c>
      <c r="D804" s="2" t="s">
        <v>1013</v>
      </c>
      <c r="E804" s="1" t="s">
        <v>578</v>
      </c>
      <c r="F804" s="17" t="s">
        <v>580</v>
      </c>
      <c r="G804" s="2" t="s">
        <v>3658</v>
      </c>
      <c r="H804" s="2" t="s">
        <v>437</v>
      </c>
      <c r="I804" s="368">
        <v>57907.62</v>
      </c>
      <c r="J804" s="350">
        <v>41.1788</v>
      </c>
      <c r="K804" s="357">
        <f t="shared" si="37"/>
        <v>1406.2483608070172</v>
      </c>
      <c r="L804" s="479">
        <v>60</v>
      </c>
      <c r="M804" s="343">
        <f t="shared" si="38"/>
        <v>965.1270000000001</v>
      </c>
      <c r="N804" s="344">
        <f ca="1" t="shared" si="36"/>
        <v>105</v>
      </c>
      <c r="O804" s="33">
        <v>9168.7065</v>
      </c>
      <c r="P804" s="340" t="s">
        <v>554</v>
      </c>
    </row>
    <row r="805" spans="2:16" ht="39.75" customHeight="1">
      <c r="B805" s="25">
        <v>41425</v>
      </c>
      <c r="C805" s="340" t="s">
        <v>563</v>
      </c>
      <c r="D805" s="2" t="s">
        <v>1036</v>
      </c>
      <c r="E805" s="1" t="s">
        <v>564</v>
      </c>
      <c r="F805" s="17" t="s">
        <v>3440</v>
      </c>
      <c r="G805" s="2" t="s">
        <v>2632</v>
      </c>
      <c r="H805" s="2" t="s">
        <v>437</v>
      </c>
      <c r="I805" s="368">
        <v>47097.79</v>
      </c>
      <c r="J805" s="350">
        <v>41.1788</v>
      </c>
      <c r="K805" s="357">
        <f t="shared" si="37"/>
        <v>1143.7387684925252</v>
      </c>
      <c r="L805" s="479">
        <v>60</v>
      </c>
      <c r="M805" s="343">
        <f t="shared" si="38"/>
        <v>784.9631666666667</v>
      </c>
      <c r="N805" s="344">
        <f ca="1" t="shared" si="36"/>
        <v>105</v>
      </c>
      <c r="O805" s="33">
        <v>7457.150083333334</v>
      </c>
      <c r="P805" s="340" t="s">
        <v>554</v>
      </c>
    </row>
    <row r="806" spans="2:16" ht="39.75" customHeight="1">
      <c r="B806" s="25">
        <v>41425</v>
      </c>
      <c r="C806" s="340" t="s">
        <v>563</v>
      </c>
      <c r="D806" s="2" t="s">
        <v>1015</v>
      </c>
      <c r="E806" s="1" t="s">
        <v>564</v>
      </c>
      <c r="F806" s="17" t="s">
        <v>653</v>
      </c>
      <c r="G806" s="2" t="s">
        <v>3659</v>
      </c>
      <c r="H806" s="2" t="s">
        <v>437</v>
      </c>
      <c r="I806" s="368">
        <v>47097.79</v>
      </c>
      <c r="J806" s="350">
        <v>41.1788</v>
      </c>
      <c r="K806" s="357">
        <f t="shared" si="37"/>
        <v>1143.7387684925252</v>
      </c>
      <c r="L806" s="479">
        <v>60</v>
      </c>
      <c r="M806" s="343">
        <f t="shared" si="38"/>
        <v>784.9631666666667</v>
      </c>
      <c r="N806" s="344">
        <f ca="1" t="shared" si="36"/>
        <v>105</v>
      </c>
      <c r="O806" s="33">
        <v>7457.150083333334</v>
      </c>
      <c r="P806" s="340" t="s">
        <v>554</v>
      </c>
    </row>
    <row r="807" spans="2:16" ht="39.75" customHeight="1">
      <c r="B807" s="25">
        <v>41425</v>
      </c>
      <c r="C807" s="340" t="s">
        <v>563</v>
      </c>
      <c r="D807" s="2" t="s">
        <v>1009</v>
      </c>
      <c r="E807" s="1" t="s">
        <v>578</v>
      </c>
      <c r="F807" s="17" t="s">
        <v>655</v>
      </c>
      <c r="G807" s="2" t="s">
        <v>3587</v>
      </c>
      <c r="H807" s="2" t="s">
        <v>437</v>
      </c>
      <c r="I807" s="368">
        <v>57907.62</v>
      </c>
      <c r="J807" s="350">
        <v>41.1788</v>
      </c>
      <c r="K807" s="357">
        <f t="shared" si="37"/>
        <v>1406.2483608070172</v>
      </c>
      <c r="L807" s="479">
        <v>60</v>
      </c>
      <c r="M807" s="343">
        <f t="shared" si="38"/>
        <v>965.1270000000001</v>
      </c>
      <c r="N807" s="344">
        <f ca="1" t="shared" si="36"/>
        <v>105</v>
      </c>
      <c r="O807" s="33">
        <v>9168.7065</v>
      </c>
      <c r="P807" s="340" t="s">
        <v>554</v>
      </c>
    </row>
    <row r="808" spans="2:16" ht="39.75" customHeight="1">
      <c r="B808" s="25">
        <v>41425</v>
      </c>
      <c r="C808" s="340" t="s">
        <v>563</v>
      </c>
      <c r="D808" s="2" t="s">
        <v>1039</v>
      </c>
      <c r="E808" s="1" t="s">
        <v>564</v>
      </c>
      <c r="F808" s="17" t="s">
        <v>3436</v>
      </c>
      <c r="G808" s="2" t="s">
        <v>3660</v>
      </c>
      <c r="H808" s="2" t="s">
        <v>437</v>
      </c>
      <c r="I808" s="368">
        <v>47097.79</v>
      </c>
      <c r="J808" s="350">
        <v>41.1788</v>
      </c>
      <c r="K808" s="357">
        <f t="shared" si="37"/>
        <v>1143.7387684925252</v>
      </c>
      <c r="L808" s="479">
        <v>60</v>
      </c>
      <c r="M808" s="343">
        <f t="shared" si="38"/>
        <v>784.9631666666667</v>
      </c>
      <c r="N808" s="344">
        <f ca="1" t="shared" si="36"/>
        <v>105</v>
      </c>
      <c r="O808" s="33">
        <v>7457.150083333334</v>
      </c>
      <c r="P808" s="340" t="s">
        <v>554</v>
      </c>
    </row>
    <row r="809" spans="2:16" ht="39.75" customHeight="1">
      <c r="B809" s="25">
        <v>41425</v>
      </c>
      <c r="C809" s="340" t="s">
        <v>563</v>
      </c>
      <c r="D809" s="2" t="s">
        <v>1024</v>
      </c>
      <c r="E809" s="1" t="s">
        <v>564</v>
      </c>
      <c r="F809" s="17" t="s">
        <v>570</v>
      </c>
      <c r="G809" s="2" t="s">
        <v>2625</v>
      </c>
      <c r="H809" s="2" t="s">
        <v>437</v>
      </c>
      <c r="I809" s="368">
        <v>47097.79</v>
      </c>
      <c r="J809" s="350">
        <v>41.1788</v>
      </c>
      <c r="K809" s="357">
        <f t="shared" si="37"/>
        <v>1143.7387684925252</v>
      </c>
      <c r="L809" s="479">
        <v>60</v>
      </c>
      <c r="M809" s="343">
        <f t="shared" si="38"/>
        <v>784.9631666666667</v>
      </c>
      <c r="N809" s="344">
        <f ca="1" t="shared" si="36"/>
        <v>105</v>
      </c>
      <c r="O809" s="33">
        <v>7457.150083333334</v>
      </c>
      <c r="P809" s="340" t="s">
        <v>554</v>
      </c>
    </row>
    <row r="810" spans="2:16" ht="39.75" customHeight="1">
      <c r="B810" s="25">
        <v>41425</v>
      </c>
      <c r="C810" s="340" t="s">
        <v>563</v>
      </c>
      <c r="D810" s="2" t="s">
        <v>1016</v>
      </c>
      <c r="E810" s="1" t="s">
        <v>564</v>
      </c>
      <c r="F810" s="17" t="s">
        <v>3434</v>
      </c>
      <c r="G810" s="2" t="s">
        <v>3661</v>
      </c>
      <c r="H810" s="2" t="s">
        <v>437</v>
      </c>
      <c r="I810" s="368">
        <v>47097.79</v>
      </c>
      <c r="J810" s="350">
        <v>41.1788</v>
      </c>
      <c r="K810" s="357">
        <f t="shared" si="37"/>
        <v>1143.7387684925252</v>
      </c>
      <c r="L810" s="479">
        <v>60</v>
      </c>
      <c r="M810" s="343">
        <f t="shared" si="38"/>
        <v>784.9631666666667</v>
      </c>
      <c r="N810" s="344">
        <f ca="1" t="shared" si="36"/>
        <v>105</v>
      </c>
      <c r="O810" s="33">
        <v>7457.150083333334</v>
      </c>
      <c r="P810" s="340" t="s">
        <v>554</v>
      </c>
    </row>
    <row r="811" spans="2:16" ht="39.75" customHeight="1">
      <c r="B811" s="25">
        <v>41425</v>
      </c>
      <c r="C811" s="340" t="s">
        <v>563</v>
      </c>
      <c r="D811" s="2" t="s">
        <v>1023</v>
      </c>
      <c r="E811" s="1" t="s">
        <v>564</v>
      </c>
      <c r="F811" s="17" t="s">
        <v>3441</v>
      </c>
      <c r="G811" s="2" t="s">
        <v>3662</v>
      </c>
      <c r="H811" s="2" t="s">
        <v>437</v>
      </c>
      <c r="I811" s="368">
        <v>47097.79</v>
      </c>
      <c r="J811" s="350">
        <v>41.1788</v>
      </c>
      <c r="K811" s="357">
        <f t="shared" si="37"/>
        <v>1143.7387684925252</v>
      </c>
      <c r="L811" s="479">
        <v>60</v>
      </c>
      <c r="M811" s="343">
        <f t="shared" si="38"/>
        <v>784.9631666666667</v>
      </c>
      <c r="N811" s="344">
        <f ca="1" t="shared" si="36"/>
        <v>105</v>
      </c>
      <c r="O811" s="33">
        <v>7457.150083333334</v>
      </c>
      <c r="P811" s="340" t="s">
        <v>554</v>
      </c>
    </row>
    <row r="812" spans="2:16" ht="39.75" customHeight="1">
      <c r="B812" s="25">
        <v>41425</v>
      </c>
      <c r="C812" s="340" t="s">
        <v>563</v>
      </c>
      <c r="D812" s="2" t="s">
        <v>1026</v>
      </c>
      <c r="E812" s="1" t="s">
        <v>564</v>
      </c>
      <c r="F812" s="17" t="s">
        <v>3459</v>
      </c>
      <c r="G812" s="2" t="s">
        <v>3458</v>
      </c>
      <c r="H812" s="2" t="s">
        <v>437</v>
      </c>
      <c r="I812" s="368">
        <v>47097.79</v>
      </c>
      <c r="J812" s="350">
        <v>41.1788</v>
      </c>
      <c r="K812" s="357">
        <f t="shared" si="37"/>
        <v>1143.7387684925252</v>
      </c>
      <c r="L812" s="479">
        <v>60</v>
      </c>
      <c r="M812" s="343">
        <f t="shared" si="38"/>
        <v>784.9631666666667</v>
      </c>
      <c r="N812" s="344">
        <f ca="1" t="shared" si="36"/>
        <v>105</v>
      </c>
      <c r="O812" s="33">
        <v>7457.150083333334</v>
      </c>
      <c r="P812" s="340" t="s">
        <v>554</v>
      </c>
    </row>
    <row r="813" spans="2:16" ht="39.75" customHeight="1">
      <c r="B813" s="25">
        <v>41425</v>
      </c>
      <c r="C813" s="340" t="s">
        <v>563</v>
      </c>
      <c r="D813" s="2" t="s">
        <v>1028</v>
      </c>
      <c r="E813" s="1" t="s">
        <v>564</v>
      </c>
      <c r="F813" s="17" t="s">
        <v>3439</v>
      </c>
      <c r="G813" s="2" t="s">
        <v>3663</v>
      </c>
      <c r="H813" s="2" t="s">
        <v>437</v>
      </c>
      <c r="I813" s="368">
        <v>47097.79</v>
      </c>
      <c r="J813" s="350">
        <v>41.1788</v>
      </c>
      <c r="K813" s="357">
        <f t="shared" si="37"/>
        <v>1143.7387684925252</v>
      </c>
      <c r="L813" s="479">
        <v>60</v>
      </c>
      <c r="M813" s="343">
        <f t="shared" si="38"/>
        <v>784.9631666666667</v>
      </c>
      <c r="N813" s="344">
        <f ca="1" t="shared" si="36"/>
        <v>105</v>
      </c>
      <c r="O813" s="33">
        <v>7457.150083333334</v>
      </c>
      <c r="P813" s="340" t="s">
        <v>554</v>
      </c>
    </row>
    <row r="814" spans="2:16" ht="39.75" customHeight="1">
      <c r="B814" s="25">
        <v>41425</v>
      </c>
      <c r="C814" s="340" t="s">
        <v>563</v>
      </c>
      <c r="D814" s="2" t="s">
        <v>1022</v>
      </c>
      <c r="E814" s="1" t="s">
        <v>564</v>
      </c>
      <c r="F814" s="17" t="s">
        <v>569</v>
      </c>
      <c r="G814" s="2" t="s">
        <v>2628</v>
      </c>
      <c r="H814" s="2" t="s">
        <v>437</v>
      </c>
      <c r="I814" s="368">
        <v>47097.79</v>
      </c>
      <c r="J814" s="350">
        <v>41.1788</v>
      </c>
      <c r="K814" s="357">
        <f t="shared" si="37"/>
        <v>1143.7387684925252</v>
      </c>
      <c r="L814" s="479">
        <v>60</v>
      </c>
      <c r="M814" s="343">
        <f t="shared" si="38"/>
        <v>784.9631666666667</v>
      </c>
      <c r="N814" s="344">
        <f ca="1" t="shared" si="36"/>
        <v>105</v>
      </c>
      <c r="O814" s="33">
        <v>7457.150083333334</v>
      </c>
      <c r="P814" s="340" t="s">
        <v>554</v>
      </c>
    </row>
    <row r="815" spans="2:16" ht="39.75" customHeight="1">
      <c r="B815" s="25">
        <v>41425</v>
      </c>
      <c r="C815" s="340" t="s">
        <v>563</v>
      </c>
      <c r="D815" s="2" t="s">
        <v>1029</v>
      </c>
      <c r="E815" s="1" t="s">
        <v>564</v>
      </c>
      <c r="F815" s="17" t="s">
        <v>648</v>
      </c>
      <c r="G815" s="2" t="s">
        <v>2628</v>
      </c>
      <c r="H815" s="2" t="s">
        <v>437</v>
      </c>
      <c r="I815" s="368">
        <v>47097.79</v>
      </c>
      <c r="J815" s="350">
        <v>41.1788</v>
      </c>
      <c r="K815" s="357">
        <f t="shared" si="37"/>
        <v>1143.7387684925252</v>
      </c>
      <c r="L815" s="479">
        <v>60</v>
      </c>
      <c r="M815" s="343">
        <f t="shared" si="38"/>
        <v>784.9631666666667</v>
      </c>
      <c r="N815" s="344">
        <f ca="1" t="shared" si="36"/>
        <v>105</v>
      </c>
      <c r="O815" s="33">
        <v>7457.150083333334</v>
      </c>
      <c r="P815" s="340" t="s">
        <v>554</v>
      </c>
    </row>
    <row r="816" spans="2:16" ht="39.75" customHeight="1">
      <c r="B816" s="25">
        <v>41425</v>
      </c>
      <c r="C816" s="340" t="s">
        <v>563</v>
      </c>
      <c r="D816" s="2" t="s">
        <v>1010</v>
      </c>
      <c r="E816" s="1" t="s">
        <v>1012</v>
      </c>
      <c r="F816" s="17" t="s">
        <v>1011</v>
      </c>
      <c r="G816" s="2" t="s">
        <v>3664</v>
      </c>
      <c r="H816" s="2" t="s">
        <v>437</v>
      </c>
      <c r="I816" s="368">
        <v>57907.62</v>
      </c>
      <c r="J816" s="350">
        <v>41.1788</v>
      </c>
      <c r="K816" s="357">
        <f t="shared" si="37"/>
        <v>1406.2483608070172</v>
      </c>
      <c r="L816" s="479">
        <v>60</v>
      </c>
      <c r="M816" s="343">
        <f t="shared" si="38"/>
        <v>965.1270000000001</v>
      </c>
      <c r="N816" s="344">
        <f ca="1" t="shared" si="36"/>
        <v>105</v>
      </c>
      <c r="O816" s="33">
        <v>9168.7065</v>
      </c>
      <c r="P816" s="340" t="s">
        <v>554</v>
      </c>
    </row>
    <row r="817" spans="2:16" ht="39.75" customHeight="1">
      <c r="B817" s="25">
        <v>41425</v>
      </c>
      <c r="C817" s="340" t="s">
        <v>563</v>
      </c>
      <c r="D817" s="2" t="s">
        <v>1018</v>
      </c>
      <c r="E817" s="1" t="s">
        <v>564</v>
      </c>
      <c r="F817" s="17" t="s">
        <v>566</v>
      </c>
      <c r="G817" s="2" t="s">
        <v>2622</v>
      </c>
      <c r="H817" s="2" t="s">
        <v>437</v>
      </c>
      <c r="I817" s="368">
        <v>47097.79</v>
      </c>
      <c r="J817" s="350">
        <v>41.1788</v>
      </c>
      <c r="K817" s="357">
        <f t="shared" si="37"/>
        <v>1143.7387684925252</v>
      </c>
      <c r="L817" s="479">
        <v>60</v>
      </c>
      <c r="M817" s="343">
        <f t="shared" si="38"/>
        <v>784.9631666666667</v>
      </c>
      <c r="N817" s="344">
        <f ca="1" t="shared" si="36"/>
        <v>105</v>
      </c>
      <c r="O817" s="33">
        <v>7457.150083333334</v>
      </c>
      <c r="P817" s="340" t="s">
        <v>554</v>
      </c>
    </row>
    <row r="818" spans="2:16" ht="39.75" customHeight="1">
      <c r="B818" s="25">
        <v>41425</v>
      </c>
      <c r="C818" s="340" t="s">
        <v>563</v>
      </c>
      <c r="D818" s="2" t="s">
        <v>1035</v>
      </c>
      <c r="E818" s="1" t="s">
        <v>564</v>
      </c>
      <c r="F818" s="17" t="s">
        <v>3438</v>
      </c>
      <c r="G818" s="2" t="s">
        <v>3665</v>
      </c>
      <c r="H818" s="2" t="s">
        <v>437</v>
      </c>
      <c r="I818" s="368">
        <v>47097.79</v>
      </c>
      <c r="J818" s="350">
        <v>41.1788</v>
      </c>
      <c r="K818" s="357">
        <f t="shared" si="37"/>
        <v>1143.7387684925252</v>
      </c>
      <c r="L818" s="479">
        <v>60</v>
      </c>
      <c r="M818" s="343">
        <f t="shared" si="38"/>
        <v>784.9631666666667</v>
      </c>
      <c r="N818" s="344">
        <f ca="1" t="shared" si="36"/>
        <v>105</v>
      </c>
      <c r="O818" s="33">
        <v>7457.150083333334</v>
      </c>
      <c r="P818" s="340" t="s">
        <v>554</v>
      </c>
    </row>
    <row r="819" spans="2:16" ht="39.75" customHeight="1">
      <c r="B819" s="25">
        <v>41425</v>
      </c>
      <c r="C819" s="340" t="s">
        <v>563</v>
      </c>
      <c r="D819" s="2" t="s">
        <v>1019</v>
      </c>
      <c r="E819" s="1" t="s">
        <v>564</v>
      </c>
      <c r="F819" s="17" t="s">
        <v>567</v>
      </c>
      <c r="G819" s="2" t="s">
        <v>2623</v>
      </c>
      <c r="H819" s="2" t="s">
        <v>437</v>
      </c>
      <c r="I819" s="368">
        <v>47097.79</v>
      </c>
      <c r="J819" s="350">
        <v>41.1788</v>
      </c>
      <c r="K819" s="357">
        <f t="shared" si="37"/>
        <v>1143.7387684925252</v>
      </c>
      <c r="L819" s="479">
        <v>60</v>
      </c>
      <c r="M819" s="343">
        <f t="shared" si="38"/>
        <v>784.9631666666667</v>
      </c>
      <c r="N819" s="344">
        <f ca="1" t="shared" si="36"/>
        <v>105</v>
      </c>
      <c r="O819" s="33">
        <v>7457.150083333334</v>
      </c>
      <c r="P819" s="340" t="s">
        <v>554</v>
      </c>
    </row>
    <row r="820" spans="2:16" ht="39.75" customHeight="1">
      <c r="B820" s="25">
        <v>41425</v>
      </c>
      <c r="C820" s="340" t="s">
        <v>563</v>
      </c>
      <c r="D820" s="2" t="s">
        <v>1008</v>
      </c>
      <c r="E820" s="1" t="s">
        <v>578</v>
      </c>
      <c r="F820" s="17" t="s">
        <v>651</v>
      </c>
      <c r="G820" s="2" t="s">
        <v>3666</v>
      </c>
      <c r="H820" s="2" t="s">
        <v>437</v>
      </c>
      <c r="I820" s="368">
        <v>57907.62</v>
      </c>
      <c r="J820" s="350">
        <v>41.1788</v>
      </c>
      <c r="K820" s="357">
        <f t="shared" si="37"/>
        <v>1406.2483608070172</v>
      </c>
      <c r="L820" s="479">
        <v>60</v>
      </c>
      <c r="M820" s="343">
        <f t="shared" si="38"/>
        <v>965.1270000000001</v>
      </c>
      <c r="N820" s="344">
        <f ca="1" t="shared" si="36"/>
        <v>105</v>
      </c>
      <c r="O820" s="33">
        <v>9168.7065</v>
      </c>
      <c r="P820" s="340" t="s">
        <v>554</v>
      </c>
    </row>
    <row r="821" spans="2:16" ht="39.75" customHeight="1">
      <c r="B821" s="25">
        <v>41425</v>
      </c>
      <c r="C821" s="340" t="s">
        <v>563</v>
      </c>
      <c r="D821" s="2" t="s">
        <v>1042</v>
      </c>
      <c r="E821" s="1" t="s">
        <v>564</v>
      </c>
      <c r="F821" s="17" t="s">
        <v>3429</v>
      </c>
      <c r="G821" s="2" t="s">
        <v>3410</v>
      </c>
      <c r="H821" s="2" t="s">
        <v>437</v>
      </c>
      <c r="I821" s="368">
        <v>47097.79</v>
      </c>
      <c r="J821" s="350">
        <v>41.1788</v>
      </c>
      <c r="K821" s="357">
        <f t="shared" si="37"/>
        <v>1143.7387684925252</v>
      </c>
      <c r="L821" s="479">
        <v>60</v>
      </c>
      <c r="M821" s="343">
        <f t="shared" si="38"/>
        <v>784.9631666666667</v>
      </c>
      <c r="N821" s="344">
        <f ca="1" t="shared" si="36"/>
        <v>105</v>
      </c>
      <c r="O821" s="33">
        <v>7457.150083333334</v>
      </c>
      <c r="P821" s="340" t="s">
        <v>554</v>
      </c>
    </row>
    <row r="822" spans="2:16" ht="39.75" customHeight="1">
      <c r="B822" s="25">
        <v>41425</v>
      </c>
      <c r="C822" s="340" t="s">
        <v>563</v>
      </c>
      <c r="D822" s="2" t="s">
        <v>1079</v>
      </c>
      <c r="E822" s="1" t="s">
        <v>559</v>
      </c>
      <c r="F822" s="17" t="s">
        <v>560</v>
      </c>
      <c r="G822" s="2" t="s">
        <v>821</v>
      </c>
      <c r="H822" s="2" t="s">
        <v>110</v>
      </c>
      <c r="I822" s="368">
        <v>2895</v>
      </c>
      <c r="J822" s="350">
        <v>41.1788</v>
      </c>
      <c r="K822" s="357">
        <f t="shared" si="37"/>
        <v>70.30316570662573</v>
      </c>
      <c r="L822" s="479">
        <v>60</v>
      </c>
      <c r="M822" s="343">
        <f t="shared" si="38"/>
        <v>48.25</v>
      </c>
      <c r="N822" s="344">
        <f ca="1" t="shared" si="36"/>
        <v>105</v>
      </c>
      <c r="O822" s="33">
        <v>458.375</v>
      </c>
      <c r="P822" s="340" t="s">
        <v>554</v>
      </c>
    </row>
    <row r="823" spans="2:16" ht="39.75" customHeight="1">
      <c r="B823" s="25">
        <v>41443</v>
      </c>
      <c r="C823" s="340" t="s">
        <v>581</v>
      </c>
      <c r="D823" s="2" t="s">
        <v>1078</v>
      </c>
      <c r="E823" s="1" t="s">
        <v>582</v>
      </c>
      <c r="F823" s="17" t="s">
        <v>583</v>
      </c>
      <c r="G823" s="2" t="s">
        <v>821</v>
      </c>
      <c r="H823" s="2" t="s">
        <v>111</v>
      </c>
      <c r="I823" s="368">
        <v>29287</v>
      </c>
      <c r="J823" s="350">
        <v>41.52</v>
      </c>
      <c r="K823" s="357">
        <f t="shared" si="37"/>
        <v>705.3709055876685</v>
      </c>
      <c r="L823" s="479">
        <v>60</v>
      </c>
      <c r="M823" s="343">
        <f t="shared" si="38"/>
        <v>488.1166666666667</v>
      </c>
      <c r="N823" s="344">
        <f ca="1" t="shared" si="36"/>
        <v>104</v>
      </c>
      <c r="O823" s="33">
        <v>4881.166666666668</v>
      </c>
      <c r="P823" s="340" t="s">
        <v>62</v>
      </c>
    </row>
    <row r="824" spans="2:16" ht="39.75" customHeight="1">
      <c r="B824" s="25">
        <v>41450</v>
      </c>
      <c r="C824" s="340" t="s">
        <v>584</v>
      </c>
      <c r="D824" s="2" t="s">
        <v>995</v>
      </c>
      <c r="E824" s="1" t="s">
        <v>585</v>
      </c>
      <c r="F824" s="17" t="s">
        <v>587</v>
      </c>
      <c r="G824" s="2" t="s">
        <v>3667</v>
      </c>
      <c r="H824" s="2" t="s">
        <v>437</v>
      </c>
      <c r="I824" s="368">
        <v>18159.24</v>
      </c>
      <c r="J824" s="350">
        <v>41.59</v>
      </c>
      <c r="K824" s="357">
        <f t="shared" si="37"/>
        <v>436.6251502765088</v>
      </c>
      <c r="L824" s="479">
        <v>60</v>
      </c>
      <c r="M824" s="343">
        <f t="shared" si="38"/>
        <v>302.65400000000005</v>
      </c>
      <c r="N824" s="344">
        <f ca="1" t="shared" si="36"/>
        <v>104</v>
      </c>
      <c r="O824" s="33">
        <v>3026.539999999999</v>
      </c>
      <c r="P824" s="340" t="s">
        <v>554</v>
      </c>
    </row>
    <row r="825" spans="2:16" ht="39.75" customHeight="1">
      <c r="B825" s="25">
        <v>41450</v>
      </c>
      <c r="C825" s="340" t="s">
        <v>584</v>
      </c>
      <c r="D825" s="2" t="s">
        <v>996</v>
      </c>
      <c r="E825" s="1" t="s">
        <v>585</v>
      </c>
      <c r="F825" s="17" t="s">
        <v>588</v>
      </c>
      <c r="G825" s="2" t="s">
        <v>1832</v>
      </c>
      <c r="H825" s="2" t="s">
        <v>437</v>
      </c>
      <c r="I825" s="368">
        <v>18159.24</v>
      </c>
      <c r="J825" s="350">
        <v>41.59</v>
      </c>
      <c r="K825" s="357">
        <f>+I825/J825</f>
        <v>436.6251502765088</v>
      </c>
      <c r="L825" s="479">
        <v>60</v>
      </c>
      <c r="M825" s="343">
        <f t="shared" si="38"/>
        <v>302.65400000000005</v>
      </c>
      <c r="N825" s="344">
        <f ca="1" t="shared" si="36"/>
        <v>104</v>
      </c>
      <c r="O825" s="33">
        <v>3026.539999999999</v>
      </c>
      <c r="P825" s="340" t="s">
        <v>554</v>
      </c>
    </row>
    <row r="826" spans="2:16" ht="39.75" customHeight="1">
      <c r="B826" s="25">
        <v>41450</v>
      </c>
      <c r="C826" s="340" t="s">
        <v>584</v>
      </c>
      <c r="D826" s="2" t="s">
        <v>1002</v>
      </c>
      <c r="E826" s="1" t="s">
        <v>585</v>
      </c>
      <c r="F826" s="17" t="s">
        <v>594</v>
      </c>
      <c r="G826" s="2" t="s">
        <v>3668</v>
      </c>
      <c r="H826" s="2" t="s">
        <v>437</v>
      </c>
      <c r="I826" s="368">
        <v>18159.24</v>
      </c>
      <c r="J826" s="350">
        <v>41.59</v>
      </c>
      <c r="K826" s="357">
        <f t="shared" si="37"/>
        <v>436.6251502765088</v>
      </c>
      <c r="L826" s="479">
        <v>60</v>
      </c>
      <c r="M826" s="343">
        <f t="shared" si="38"/>
        <v>302.65400000000005</v>
      </c>
      <c r="N826" s="344">
        <f ca="1" t="shared" si="36"/>
        <v>104</v>
      </c>
      <c r="O826" s="33">
        <v>3026.539999999999</v>
      </c>
      <c r="P826" s="340" t="s">
        <v>554</v>
      </c>
    </row>
    <row r="827" spans="2:16" ht="39.75" customHeight="1">
      <c r="B827" s="25">
        <v>41450</v>
      </c>
      <c r="C827" s="340" t="s">
        <v>584</v>
      </c>
      <c r="D827" s="2" t="s">
        <v>1000</v>
      </c>
      <c r="E827" s="1" t="s">
        <v>585</v>
      </c>
      <c r="F827" s="17" t="s">
        <v>591</v>
      </c>
      <c r="G827" s="2" t="s">
        <v>615</v>
      </c>
      <c r="H827" s="2" t="s">
        <v>437</v>
      </c>
      <c r="I827" s="368">
        <v>18159.24</v>
      </c>
      <c r="J827" s="350">
        <v>41.59</v>
      </c>
      <c r="K827" s="357">
        <f t="shared" si="37"/>
        <v>436.6251502765088</v>
      </c>
      <c r="L827" s="479">
        <v>60</v>
      </c>
      <c r="M827" s="343">
        <f t="shared" si="38"/>
        <v>302.65400000000005</v>
      </c>
      <c r="N827" s="344">
        <f ca="1" t="shared" si="36"/>
        <v>104</v>
      </c>
      <c r="O827" s="33">
        <v>3026.539999999999</v>
      </c>
      <c r="P827" s="340" t="s">
        <v>554</v>
      </c>
    </row>
    <row r="828" spans="2:16" ht="39.75" customHeight="1">
      <c r="B828" s="25">
        <v>41450</v>
      </c>
      <c r="C828" s="340" t="s">
        <v>584</v>
      </c>
      <c r="D828" s="2" t="s">
        <v>1005</v>
      </c>
      <c r="E828" s="1" t="s">
        <v>595</v>
      </c>
      <c r="F828" s="17" t="s">
        <v>597</v>
      </c>
      <c r="G828" s="2" t="s">
        <v>3669</v>
      </c>
      <c r="H828" s="2" t="s">
        <v>437</v>
      </c>
      <c r="I828" s="368">
        <v>57907.62</v>
      </c>
      <c r="J828" s="350">
        <v>41.59</v>
      </c>
      <c r="K828" s="357">
        <f t="shared" si="37"/>
        <v>1392.344794421736</v>
      </c>
      <c r="L828" s="479">
        <v>60</v>
      </c>
      <c r="M828" s="343">
        <f t="shared" si="38"/>
        <v>965.1270000000001</v>
      </c>
      <c r="N828" s="344">
        <f ca="1" t="shared" si="36"/>
        <v>104</v>
      </c>
      <c r="O828" s="33">
        <v>9651.269999999997</v>
      </c>
      <c r="P828" s="340" t="s">
        <v>554</v>
      </c>
    </row>
    <row r="829" spans="2:16" ht="39.75" customHeight="1">
      <c r="B829" s="25">
        <v>41450</v>
      </c>
      <c r="C829" s="340" t="s">
        <v>584</v>
      </c>
      <c r="D829" s="2" t="s">
        <v>1001</v>
      </c>
      <c r="E829" s="1" t="s">
        <v>585</v>
      </c>
      <c r="F829" s="17" t="s">
        <v>592</v>
      </c>
      <c r="G829" s="2" t="s">
        <v>1834</v>
      </c>
      <c r="H829" s="2" t="s">
        <v>437</v>
      </c>
      <c r="I829" s="368">
        <v>18159.24</v>
      </c>
      <c r="J829" s="350">
        <v>41.59</v>
      </c>
      <c r="K829" s="357">
        <f t="shared" si="37"/>
        <v>436.6251502765088</v>
      </c>
      <c r="L829" s="479">
        <v>60</v>
      </c>
      <c r="M829" s="343">
        <f t="shared" si="38"/>
        <v>302.65400000000005</v>
      </c>
      <c r="N829" s="344">
        <f ca="1" t="shared" si="36"/>
        <v>104</v>
      </c>
      <c r="O829" s="33">
        <v>3026.539999999999</v>
      </c>
      <c r="P829" s="340" t="s">
        <v>554</v>
      </c>
    </row>
    <row r="830" spans="2:16" ht="39.75" customHeight="1">
      <c r="B830" s="25">
        <v>41450</v>
      </c>
      <c r="C830" s="340" t="s">
        <v>584</v>
      </c>
      <c r="D830" s="2" t="s">
        <v>1006</v>
      </c>
      <c r="E830" s="1" t="s">
        <v>595</v>
      </c>
      <c r="F830" s="17" t="s">
        <v>3479</v>
      </c>
      <c r="G830" s="2" t="s">
        <v>3670</v>
      </c>
      <c r="H830" s="2" t="s">
        <v>437</v>
      </c>
      <c r="I830" s="368">
        <v>57907.62</v>
      </c>
      <c r="J830" s="350">
        <v>41.59</v>
      </c>
      <c r="K830" s="357">
        <f t="shared" si="37"/>
        <v>1392.344794421736</v>
      </c>
      <c r="L830" s="479">
        <v>60</v>
      </c>
      <c r="M830" s="343">
        <f t="shared" si="38"/>
        <v>965.1270000000001</v>
      </c>
      <c r="N830" s="344">
        <f ca="1" t="shared" si="36"/>
        <v>104</v>
      </c>
      <c r="O830" s="33">
        <v>9651.269999999997</v>
      </c>
      <c r="P830" s="340" t="s">
        <v>554</v>
      </c>
    </row>
    <row r="831" spans="2:16" ht="39.75" customHeight="1">
      <c r="B831" s="25">
        <v>41450</v>
      </c>
      <c r="C831" s="340" t="s">
        <v>584</v>
      </c>
      <c r="D831" s="2" t="s">
        <v>999</v>
      </c>
      <c r="E831" s="1" t="s">
        <v>585</v>
      </c>
      <c r="F831" s="17" t="s">
        <v>593</v>
      </c>
      <c r="G831" s="2" t="s">
        <v>3671</v>
      </c>
      <c r="H831" s="2" t="s">
        <v>437</v>
      </c>
      <c r="I831" s="368">
        <v>18159.24</v>
      </c>
      <c r="J831" s="350">
        <v>41.59</v>
      </c>
      <c r="K831" s="357">
        <f t="shared" si="37"/>
        <v>436.6251502765088</v>
      </c>
      <c r="L831" s="479">
        <v>60</v>
      </c>
      <c r="M831" s="343">
        <f t="shared" si="38"/>
        <v>302.65400000000005</v>
      </c>
      <c r="N831" s="344">
        <f ca="1" t="shared" si="36"/>
        <v>104</v>
      </c>
      <c r="O831" s="33">
        <v>3026.539999999999</v>
      </c>
      <c r="P831" s="340" t="s">
        <v>554</v>
      </c>
    </row>
    <row r="832" spans="2:16" ht="39.75" customHeight="1">
      <c r="B832" s="25">
        <v>41450</v>
      </c>
      <c r="C832" s="340" t="s">
        <v>584</v>
      </c>
      <c r="D832" s="2" t="s">
        <v>997</v>
      </c>
      <c r="E832" s="1" t="s">
        <v>585</v>
      </c>
      <c r="F832" s="17" t="s">
        <v>589</v>
      </c>
      <c r="G832" s="2" t="s">
        <v>3672</v>
      </c>
      <c r="H832" s="2" t="s">
        <v>437</v>
      </c>
      <c r="I832" s="368">
        <v>18159.24</v>
      </c>
      <c r="J832" s="350">
        <v>41.59</v>
      </c>
      <c r="K832" s="357">
        <f t="shared" si="37"/>
        <v>436.6251502765088</v>
      </c>
      <c r="L832" s="479">
        <v>60</v>
      </c>
      <c r="M832" s="343">
        <f t="shared" si="38"/>
        <v>302.65400000000005</v>
      </c>
      <c r="N832" s="344">
        <f ca="1" t="shared" si="36"/>
        <v>104</v>
      </c>
      <c r="O832" s="33">
        <v>3026.539999999999</v>
      </c>
      <c r="P832" s="340" t="s">
        <v>554</v>
      </c>
    </row>
    <row r="833" spans="2:16" ht="39.75" customHeight="1">
      <c r="B833" s="25">
        <v>41450</v>
      </c>
      <c r="C833" s="340" t="s">
        <v>584</v>
      </c>
      <c r="D833" s="2" t="s">
        <v>994</v>
      </c>
      <c r="E833" s="1" t="s">
        <v>585</v>
      </c>
      <c r="F833" s="17" t="s">
        <v>586</v>
      </c>
      <c r="G833" s="2" t="s">
        <v>3469</v>
      </c>
      <c r="H833" s="2" t="s">
        <v>437</v>
      </c>
      <c r="I833" s="368">
        <v>18159.24</v>
      </c>
      <c r="J833" s="350">
        <v>41.59</v>
      </c>
      <c r="K833" s="357">
        <f t="shared" si="37"/>
        <v>436.6251502765088</v>
      </c>
      <c r="L833" s="479">
        <v>60</v>
      </c>
      <c r="M833" s="343">
        <f t="shared" si="38"/>
        <v>302.65400000000005</v>
      </c>
      <c r="N833" s="344">
        <f ca="1" t="shared" si="36"/>
        <v>104</v>
      </c>
      <c r="O833" s="33">
        <v>3026.539999999999</v>
      </c>
      <c r="P833" s="340" t="s">
        <v>554</v>
      </c>
    </row>
    <row r="834" spans="2:16" ht="39.75" customHeight="1">
      <c r="B834" s="25">
        <v>41450</v>
      </c>
      <c r="C834" s="340" t="s">
        <v>584</v>
      </c>
      <c r="D834" s="2" t="s">
        <v>998</v>
      </c>
      <c r="E834" s="1" t="s">
        <v>585</v>
      </c>
      <c r="F834" s="17" t="s">
        <v>590</v>
      </c>
      <c r="G834" s="2" t="s">
        <v>1837</v>
      </c>
      <c r="H834" s="2" t="s">
        <v>437</v>
      </c>
      <c r="I834" s="368">
        <v>18159.24</v>
      </c>
      <c r="J834" s="350">
        <v>41.59</v>
      </c>
      <c r="K834" s="357">
        <f t="shared" si="37"/>
        <v>436.6251502765088</v>
      </c>
      <c r="L834" s="479">
        <v>60</v>
      </c>
      <c r="M834" s="343">
        <f t="shared" si="38"/>
        <v>302.65400000000005</v>
      </c>
      <c r="N834" s="344">
        <f ca="1" t="shared" si="36"/>
        <v>104</v>
      </c>
      <c r="O834" s="33">
        <v>3026.539999999999</v>
      </c>
      <c r="P834" s="340" t="s">
        <v>554</v>
      </c>
    </row>
    <row r="835" spans="2:16" ht="39.75" customHeight="1">
      <c r="B835" s="25">
        <v>41450</v>
      </c>
      <c r="C835" s="340" t="s">
        <v>584</v>
      </c>
      <c r="D835" s="2" t="s">
        <v>1004</v>
      </c>
      <c r="E835" s="1" t="s">
        <v>595</v>
      </c>
      <c r="F835" s="17" t="s">
        <v>596</v>
      </c>
      <c r="G835" s="2" t="s">
        <v>3422</v>
      </c>
      <c r="H835" s="2" t="s">
        <v>437</v>
      </c>
      <c r="I835" s="368">
        <v>57907.62</v>
      </c>
      <c r="J835" s="350">
        <v>41.59</v>
      </c>
      <c r="K835" s="357">
        <f t="shared" si="37"/>
        <v>1392.344794421736</v>
      </c>
      <c r="L835" s="479">
        <v>60</v>
      </c>
      <c r="M835" s="343">
        <f t="shared" si="38"/>
        <v>965.1270000000001</v>
      </c>
      <c r="N835" s="344">
        <f ca="1" t="shared" si="36"/>
        <v>104</v>
      </c>
      <c r="O835" s="33">
        <v>9651.269999999997</v>
      </c>
      <c r="P835" s="340" t="s">
        <v>554</v>
      </c>
    </row>
    <row r="836" spans="2:16" ht="39.75" customHeight="1">
      <c r="B836" s="25">
        <v>41450</v>
      </c>
      <c r="C836" s="340" t="s">
        <v>584</v>
      </c>
      <c r="D836" s="2" t="s">
        <v>1075</v>
      </c>
      <c r="E836" s="1" t="s">
        <v>595</v>
      </c>
      <c r="F836" s="17" t="s">
        <v>598</v>
      </c>
      <c r="G836" s="2" t="s">
        <v>3421</v>
      </c>
      <c r="H836" s="2" t="s">
        <v>3673</v>
      </c>
      <c r="I836" s="368">
        <v>57907.62</v>
      </c>
      <c r="J836" s="350">
        <v>41.59</v>
      </c>
      <c r="K836" s="357">
        <f t="shared" si="37"/>
        <v>1392.344794421736</v>
      </c>
      <c r="L836" s="479">
        <v>60</v>
      </c>
      <c r="M836" s="343">
        <f t="shared" si="38"/>
        <v>965.1270000000001</v>
      </c>
      <c r="N836" s="344">
        <f ca="1" t="shared" si="36"/>
        <v>104</v>
      </c>
      <c r="O836" s="33">
        <v>9651.269999999997</v>
      </c>
      <c r="P836" s="340" t="s">
        <v>554</v>
      </c>
    </row>
    <row r="837" spans="2:16" ht="39.75" customHeight="1">
      <c r="B837" s="25">
        <v>41450</v>
      </c>
      <c r="C837" s="340" t="s">
        <v>584</v>
      </c>
      <c r="D837" s="2" t="s">
        <v>1003</v>
      </c>
      <c r="E837" s="1" t="s">
        <v>595</v>
      </c>
      <c r="F837" s="17" t="s">
        <v>3674</v>
      </c>
      <c r="G837" s="2" t="s">
        <v>3992</v>
      </c>
      <c r="H837" s="2" t="s">
        <v>437</v>
      </c>
      <c r="I837" s="368">
        <v>57907.62</v>
      </c>
      <c r="J837" s="350">
        <v>41.59</v>
      </c>
      <c r="K837" s="357">
        <f t="shared" si="37"/>
        <v>1392.344794421736</v>
      </c>
      <c r="L837" s="479">
        <v>60</v>
      </c>
      <c r="M837" s="343">
        <f t="shared" si="38"/>
        <v>965.1270000000001</v>
      </c>
      <c r="N837" s="344">
        <f ca="1" t="shared" si="36"/>
        <v>104</v>
      </c>
      <c r="O837" s="33">
        <v>9651.269999999997</v>
      </c>
      <c r="P837" s="340" t="s">
        <v>554</v>
      </c>
    </row>
    <row r="838" spans="2:16" ht="39.75" customHeight="1">
      <c r="B838" s="25">
        <v>41453</v>
      </c>
      <c r="C838" s="340" t="s">
        <v>584</v>
      </c>
      <c r="D838" s="2" t="s">
        <v>1070</v>
      </c>
      <c r="E838" s="26" t="s">
        <v>545</v>
      </c>
      <c r="F838" s="2" t="s">
        <v>42</v>
      </c>
      <c r="G838" s="2" t="s">
        <v>821</v>
      </c>
      <c r="H838" s="2" t="s">
        <v>249</v>
      </c>
      <c r="I838" s="367">
        <v>90500</v>
      </c>
      <c r="J838" s="350">
        <v>41.59</v>
      </c>
      <c r="K838" s="357">
        <f t="shared" si="37"/>
        <v>2176.0038470786244</v>
      </c>
      <c r="L838" s="479">
        <v>60</v>
      </c>
      <c r="M838" s="343">
        <f t="shared" si="38"/>
        <v>1508.3333333333333</v>
      </c>
      <c r="N838" s="344">
        <f ca="1" t="shared" si="36"/>
        <v>104</v>
      </c>
      <c r="O838" s="33">
        <v>15083.333333333343</v>
      </c>
      <c r="P838" s="340" t="s">
        <v>544</v>
      </c>
    </row>
    <row r="839" spans="2:16" ht="39.75" customHeight="1">
      <c r="B839" s="25">
        <v>41453</v>
      </c>
      <c r="C839" s="340" t="s">
        <v>584</v>
      </c>
      <c r="D839" s="2" t="s">
        <v>1071</v>
      </c>
      <c r="E839" s="26" t="s">
        <v>548</v>
      </c>
      <c r="F839" s="2" t="s">
        <v>42</v>
      </c>
      <c r="G839" s="2" t="s">
        <v>821</v>
      </c>
      <c r="H839" s="2" t="s">
        <v>249</v>
      </c>
      <c r="I839" s="367">
        <v>3360</v>
      </c>
      <c r="J839" s="350">
        <v>41.59</v>
      </c>
      <c r="K839" s="357">
        <f t="shared" si="37"/>
        <v>80.78865111805722</v>
      </c>
      <c r="L839" s="479">
        <v>60</v>
      </c>
      <c r="M839" s="343">
        <f t="shared" si="38"/>
        <v>56</v>
      </c>
      <c r="N839" s="344">
        <f ca="1" t="shared" si="36"/>
        <v>104</v>
      </c>
      <c r="O839" s="33">
        <v>560</v>
      </c>
      <c r="P839" s="340" t="s">
        <v>549</v>
      </c>
    </row>
    <row r="840" spans="2:16" ht="39.75" customHeight="1">
      <c r="B840" s="25">
        <v>41453</v>
      </c>
      <c r="C840" s="340" t="s">
        <v>584</v>
      </c>
      <c r="D840" s="2" t="s">
        <v>1072</v>
      </c>
      <c r="E840" s="26" t="s">
        <v>548</v>
      </c>
      <c r="F840" s="2" t="s">
        <v>42</v>
      </c>
      <c r="G840" s="2" t="s">
        <v>821</v>
      </c>
      <c r="H840" s="2" t="s">
        <v>249</v>
      </c>
      <c r="I840" s="367">
        <v>3360</v>
      </c>
      <c r="J840" s="350">
        <v>41.59</v>
      </c>
      <c r="K840" s="357">
        <f t="shared" si="37"/>
        <v>80.78865111805722</v>
      </c>
      <c r="L840" s="479">
        <v>60</v>
      </c>
      <c r="M840" s="343">
        <f t="shared" si="38"/>
        <v>56</v>
      </c>
      <c r="N840" s="344">
        <f aca="true" ca="1" t="shared" si="39" ref="N840:N903">IF(B840&lt;&gt;0,(ROUND((NOW()-B840)/30,0)),0)</f>
        <v>104</v>
      </c>
      <c r="O840" s="33">
        <v>560</v>
      </c>
      <c r="P840" s="340" t="s">
        <v>549</v>
      </c>
    </row>
    <row r="841" spans="2:16" ht="39.75" customHeight="1">
      <c r="B841" s="25">
        <v>41453</v>
      </c>
      <c r="C841" s="340" t="s">
        <v>584</v>
      </c>
      <c r="D841" s="2" t="s">
        <v>1073</v>
      </c>
      <c r="E841" s="26" t="s">
        <v>548</v>
      </c>
      <c r="F841" s="2" t="s">
        <v>42</v>
      </c>
      <c r="G841" s="2" t="s">
        <v>821</v>
      </c>
      <c r="H841" s="2" t="s">
        <v>249</v>
      </c>
      <c r="I841" s="367">
        <v>3360</v>
      </c>
      <c r="J841" s="350">
        <v>41.59</v>
      </c>
      <c r="K841" s="357">
        <f aca="true" t="shared" si="40" ref="K841:K904">+I841/J841</f>
        <v>80.78865111805722</v>
      </c>
      <c r="L841" s="479">
        <v>60</v>
      </c>
      <c r="M841" s="343">
        <f t="shared" si="38"/>
        <v>56</v>
      </c>
      <c r="N841" s="344">
        <f ca="1" t="shared" si="39"/>
        <v>104</v>
      </c>
      <c r="O841" s="33">
        <v>560</v>
      </c>
      <c r="P841" s="340" t="s">
        <v>549</v>
      </c>
    </row>
    <row r="842" spans="2:16" ht="39.75" customHeight="1">
      <c r="B842" s="25">
        <v>41488</v>
      </c>
      <c r="C842" s="340" t="s">
        <v>599</v>
      </c>
      <c r="D842" s="2" t="s">
        <v>1074</v>
      </c>
      <c r="E842" s="26" t="s">
        <v>600</v>
      </c>
      <c r="F842" s="2">
        <v>38405311</v>
      </c>
      <c r="G842" s="2" t="s">
        <v>821</v>
      </c>
      <c r="H842" s="2" t="s">
        <v>249</v>
      </c>
      <c r="I842" s="363">
        <v>598000</v>
      </c>
      <c r="J842" s="347">
        <v>42.04</v>
      </c>
      <c r="K842" s="357">
        <f t="shared" si="40"/>
        <v>14224.548049476689</v>
      </c>
      <c r="L842" s="476">
        <v>60</v>
      </c>
      <c r="M842" s="343">
        <f t="shared" si="38"/>
        <v>9966.666666666666</v>
      </c>
      <c r="N842" s="344">
        <f ca="1" t="shared" si="39"/>
        <v>103</v>
      </c>
      <c r="O842" s="33">
        <v>109633.33333333337</v>
      </c>
      <c r="P842" s="340" t="s">
        <v>601</v>
      </c>
    </row>
    <row r="843" spans="2:16" ht="39.75" customHeight="1">
      <c r="B843" s="25">
        <v>41540</v>
      </c>
      <c r="C843" s="340" t="s">
        <v>602</v>
      </c>
      <c r="D843" s="2" t="s">
        <v>1069</v>
      </c>
      <c r="E843" s="1" t="s">
        <v>561</v>
      </c>
      <c r="F843" s="2" t="s">
        <v>603</v>
      </c>
      <c r="G843" s="2" t="s">
        <v>821</v>
      </c>
      <c r="H843" s="2" t="s">
        <v>111</v>
      </c>
      <c r="I843" s="356">
        <v>2200</v>
      </c>
      <c r="J843" s="347">
        <v>42.62</v>
      </c>
      <c r="K843" s="357">
        <f t="shared" si="40"/>
        <v>51.618958235570155</v>
      </c>
      <c r="L843" s="476">
        <v>60</v>
      </c>
      <c r="M843" s="343">
        <f aca="true" t="shared" si="41" ref="M843:M906">+I843/L923</f>
        <v>36.666666666666664</v>
      </c>
      <c r="N843" s="344">
        <f ca="1" t="shared" si="39"/>
        <v>101</v>
      </c>
      <c r="O843" s="33">
        <v>421.66666666666674</v>
      </c>
      <c r="P843" s="340" t="s">
        <v>604</v>
      </c>
    </row>
    <row r="844" spans="2:16" ht="39.75" customHeight="1">
      <c r="B844" s="25">
        <v>41543</v>
      </c>
      <c r="C844" s="340" t="s">
        <v>605</v>
      </c>
      <c r="D844" s="2" t="s">
        <v>991</v>
      </c>
      <c r="E844" s="26" t="s">
        <v>3497</v>
      </c>
      <c r="F844" s="2">
        <v>2541936</v>
      </c>
      <c r="G844" s="2" t="s">
        <v>1835</v>
      </c>
      <c r="H844" s="2" t="s">
        <v>437</v>
      </c>
      <c r="I844" s="363">
        <v>53284.75</v>
      </c>
      <c r="J844" s="347">
        <v>42.46</v>
      </c>
      <c r="K844" s="357">
        <f t="shared" si="40"/>
        <v>1254.9399434762129</v>
      </c>
      <c r="L844" s="476">
        <v>60</v>
      </c>
      <c r="M844" s="343">
        <f t="shared" si="41"/>
        <v>444.0395833333333</v>
      </c>
      <c r="N844" s="344">
        <f ca="1" t="shared" si="39"/>
        <v>101</v>
      </c>
      <c r="O844" s="33">
        <v>10212.910416666666</v>
      </c>
      <c r="P844" s="340" t="s">
        <v>606</v>
      </c>
    </row>
    <row r="845" spans="2:16" ht="39.75" customHeight="1">
      <c r="B845" s="25">
        <v>41543</v>
      </c>
      <c r="C845" s="340" t="s">
        <v>607</v>
      </c>
      <c r="D845" s="2" t="s">
        <v>992</v>
      </c>
      <c r="E845" s="26" t="s">
        <v>608</v>
      </c>
      <c r="F845" s="2">
        <v>2280074</v>
      </c>
      <c r="G845" s="2" t="s">
        <v>1835</v>
      </c>
      <c r="H845" s="2" t="s">
        <v>437</v>
      </c>
      <c r="I845" s="363">
        <v>34650</v>
      </c>
      <c r="J845" s="347">
        <v>42.46</v>
      </c>
      <c r="K845" s="357">
        <f t="shared" si="40"/>
        <v>816.0621761658031</v>
      </c>
      <c r="L845" s="476">
        <v>60</v>
      </c>
      <c r="M845" s="343">
        <f t="shared" si="41"/>
        <v>288.75</v>
      </c>
      <c r="N845" s="344">
        <f ca="1" t="shared" si="39"/>
        <v>101</v>
      </c>
      <c r="O845" s="33">
        <v>6641.25</v>
      </c>
      <c r="P845" s="340" t="s">
        <v>609</v>
      </c>
    </row>
    <row r="846" spans="2:16" ht="39.75" customHeight="1">
      <c r="B846" s="25">
        <v>41543</v>
      </c>
      <c r="C846" s="340" t="s">
        <v>610</v>
      </c>
      <c r="D846" s="2" t="s">
        <v>993</v>
      </c>
      <c r="E846" s="26" t="s">
        <v>611</v>
      </c>
      <c r="F846" s="2" t="s">
        <v>612</v>
      </c>
      <c r="G846" s="2" t="s">
        <v>1835</v>
      </c>
      <c r="H846" s="2" t="s">
        <v>437</v>
      </c>
      <c r="I846" s="363">
        <v>45500</v>
      </c>
      <c r="J846" s="347">
        <v>42.46</v>
      </c>
      <c r="K846" s="357">
        <f t="shared" si="40"/>
        <v>1071.596796985398</v>
      </c>
      <c r="L846" s="476">
        <v>60</v>
      </c>
      <c r="M846" s="343">
        <f t="shared" si="41"/>
        <v>379.1666666666667</v>
      </c>
      <c r="N846" s="344">
        <f ca="1" t="shared" si="39"/>
        <v>101</v>
      </c>
      <c r="O846" s="33">
        <v>8720.833333333328</v>
      </c>
      <c r="P846" s="340" t="s">
        <v>613</v>
      </c>
    </row>
    <row r="847" spans="2:16" ht="39.75" customHeight="1">
      <c r="B847" s="25">
        <v>41548</v>
      </c>
      <c r="C847" s="340" t="s">
        <v>614</v>
      </c>
      <c r="D847" s="2" t="s">
        <v>990</v>
      </c>
      <c r="E847" s="26" t="s">
        <v>646</v>
      </c>
      <c r="F847" s="2" t="s">
        <v>42</v>
      </c>
      <c r="G847" s="2" t="s">
        <v>3675</v>
      </c>
      <c r="H847" s="2" t="s">
        <v>437</v>
      </c>
      <c r="I847" s="363">
        <v>13330.51</v>
      </c>
      <c r="J847" s="347">
        <v>42.43</v>
      </c>
      <c r="K847" s="357">
        <f t="shared" si="40"/>
        <v>314.1765260428942</v>
      </c>
      <c r="L847" s="476">
        <v>60</v>
      </c>
      <c r="M847" s="343">
        <f t="shared" si="41"/>
        <v>222.17516666666668</v>
      </c>
      <c r="N847" s="344">
        <f ca="1" t="shared" si="39"/>
        <v>101</v>
      </c>
      <c r="O847" s="33">
        <v>2666.101999999999</v>
      </c>
      <c r="P847" s="340" t="s">
        <v>550</v>
      </c>
    </row>
    <row r="848" spans="2:16" ht="39.75" customHeight="1">
      <c r="B848" s="25">
        <v>41648</v>
      </c>
      <c r="C848" s="340" t="s">
        <v>629</v>
      </c>
      <c r="D848" s="2" t="s">
        <v>968</v>
      </c>
      <c r="E848" s="26" t="s">
        <v>630</v>
      </c>
      <c r="F848" s="2" t="s">
        <v>631</v>
      </c>
      <c r="G848" s="2" t="s">
        <v>1827</v>
      </c>
      <c r="H848" s="2" t="s">
        <v>158</v>
      </c>
      <c r="I848" s="363">
        <v>11490</v>
      </c>
      <c r="J848" s="347">
        <v>42.75</v>
      </c>
      <c r="K848" s="357">
        <f t="shared" si="40"/>
        <v>268.7719298245614</v>
      </c>
      <c r="L848" s="476">
        <v>60</v>
      </c>
      <c r="M848" s="343">
        <f t="shared" si="41"/>
        <v>191.5</v>
      </c>
      <c r="N848" s="344">
        <f ca="1" t="shared" si="39"/>
        <v>97</v>
      </c>
      <c r="O848" s="33">
        <v>2585.25</v>
      </c>
      <c r="P848" s="340" t="s">
        <v>634</v>
      </c>
    </row>
    <row r="849" spans="2:16" ht="39.75" customHeight="1">
      <c r="B849" s="25">
        <v>41744</v>
      </c>
      <c r="C849" s="340" t="s">
        <v>632</v>
      </c>
      <c r="D849" s="2" t="s">
        <v>969</v>
      </c>
      <c r="E849" s="26" t="s">
        <v>633</v>
      </c>
      <c r="F849" s="2" t="s">
        <v>42</v>
      </c>
      <c r="G849" s="2" t="s">
        <v>1834</v>
      </c>
      <c r="H849" s="2" t="s">
        <v>437</v>
      </c>
      <c r="I849" s="363">
        <v>3675</v>
      </c>
      <c r="J849" s="347">
        <v>43.0996</v>
      </c>
      <c r="K849" s="357">
        <f t="shared" si="40"/>
        <v>85.26761269246119</v>
      </c>
      <c r="L849" s="476">
        <v>60</v>
      </c>
      <c r="M849" s="343">
        <f t="shared" si="41"/>
        <v>61.25</v>
      </c>
      <c r="N849" s="344">
        <f ca="1" t="shared" si="39"/>
        <v>94</v>
      </c>
      <c r="O849" s="33">
        <v>918.75</v>
      </c>
      <c r="P849" s="340" t="s">
        <v>634</v>
      </c>
    </row>
    <row r="850" spans="2:16" ht="39.75" customHeight="1">
      <c r="B850" s="25">
        <v>41744</v>
      </c>
      <c r="C850" s="340" t="s">
        <v>632</v>
      </c>
      <c r="D850" s="2" t="s">
        <v>980</v>
      </c>
      <c r="E850" s="26" t="s">
        <v>633</v>
      </c>
      <c r="F850" s="2" t="s">
        <v>42</v>
      </c>
      <c r="G850" s="2" t="s">
        <v>1831</v>
      </c>
      <c r="H850" s="2" t="s">
        <v>437</v>
      </c>
      <c r="I850" s="363">
        <v>3675</v>
      </c>
      <c r="J850" s="347">
        <v>43.0996</v>
      </c>
      <c r="K850" s="357">
        <f t="shared" si="40"/>
        <v>85.26761269246119</v>
      </c>
      <c r="L850" s="476">
        <v>60</v>
      </c>
      <c r="M850" s="343">
        <f t="shared" si="41"/>
        <v>61.25</v>
      </c>
      <c r="N850" s="344">
        <f ca="1" t="shared" si="39"/>
        <v>94</v>
      </c>
      <c r="O850" s="33">
        <v>918.75</v>
      </c>
      <c r="P850" s="340" t="s">
        <v>634</v>
      </c>
    </row>
    <row r="851" spans="2:16" ht="39.75" customHeight="1">
      <c r="B851" s="25">
        <v>41744</v>
      </c>
      <c r="C851" s="340" t="s">
        <v>632</v>
      </c>
      <c r="D851" s="2" t="s">
        <v>978</v>
      </c>
      <c r="E851" s="26" t="s">
        <v>633</v>
      </c>
      <c r="F851" s="2" t="s">
        <v>42</v>
      </c>
      <c r="G851" s="2" t="s">
        <v>452</v>
      </c>
      <c r="H851" s="2" t="s">
        <v>437</v>
      </c>
      <c r="I851" s="363">
        <v>3675</v>
      </c>
      <c r="J851" s="347">
        <v>43.0996</v>
      </c>
      <c r="K851" s="357">
        <f t="shared" si="40"/>
        <v>85.26761269246119</v>
      </c>
      <c r="L851" s="476">
        <v>6</v>
      </c>
      <c r="M851" s="343">
        <f t="shared" si="41"/>
        <v>61.25</v>
      </c>
      <c r="N851" s="344">
        <f ca="1" t="shared" si="39"/>
        <v>94</v>
      </c>
      <c r="O851" s="33">
        <v>918.75</v>
      </c>
      <c r="P851" s="340" t="s">
        <v>634</v>
      </c>
    </row>
    <row r="852" spans="2:16" ht="39.75" customHeight="1">
      <c r="B852" s="25">
        <v>41744</v>
      </c>
      <c r="C852" s="340" t="s">
        <v>632</v>
      </c>
      <c r="D852" s="2" t="s">
        <v>983</v>
      </c>
      <c r="E852" s="26" t="s">
        <v>633</v>
      </c>
      <c r="F852" s="2" t="s">
        <v>42</v>
      </c>
      <c r="G852" s="2" t="s">
        <v>452</v>
      </c>
      <c r="H852" s="2" t="s">
        <v>437</v>
      </c>
      <c r="I852" s="363">
        <v>3675</v>
      </c>
      <c r="J852" s="347">
        <v>43.0996</v>
      </c>
      <c r="K852" s="357">
        <f t="shared" si="40"/>
        <v>85.26761269246119</v>
      </c>
      <c r="L852" s="476">
        <v>60</v>
      </c>
      <c r="M852" s="343">
        <f t="shared" si="41"/>
        <v>61.25</v>
      </c>
      <c r="N852" s="344">
        <f ca="1" t="shared" si="39"/>
        <v>94</v>
      </c>
      <c r="O852" s="33">
        <v>918.75</v>
      </c>
      <c r="P852" s="340" t="s">
        <v>634</v>
      </c>
    </row>
    <row r="853" spans="2:16" ht="39.75" customHeight="1">
      <c r="B853" s="25">
        <v>41744</v>
      </c>
      <c r="C853" s="340" t="s">
        <v>632</v>
      </c>
      <c r="D853" s="2" t="s">
        <v>984</v>
      </c>
      <c r="E853" s="26" t="s">
        <v>633</v>
      </c>
      <c r="F853" s="2" t="s">
        <v>42</v>
      </c>
      <c r="G853" s="2" t="s">
        <v>452</v>
      </c>
      <c r="H853" s="2" t="s">
        <v>437</v>
      </c>
      <c r="I853" s="363">
        <v>3675</v>
      </c>
      <c r="J853" s="347">
        <v>43.0996</v>
      </c>
      <c r="K853" s="357">
        <f t="shared" si="40"/>
        <v>85.26761269246119</v>
      </c>
      <c r="L853" s="476">
        <v>60</v>
      </c>
      <c r="M853" s="343">
        <f t="shared" si="41"/>
        <v>61.25</v>
      </c>
      <c r="N853" s="344">
        <f ca="1" t="shared" si="39"/>
        <v>94</v>
      </c>
      <c r="O853" s="33">
        <v>918.75</v>
      </c>
      <c r="P853" s="340" t="s">
        <v>634</v>
      </c>
    </row>
    <row r="854" spans="2:16" ht="39.75" customHeight="1">
      <c r="B854" s="25">
        <v>41744</v>
      </c>
      <c r="C854" s="340" t="s">
        <v>632</v>
      </c>
      <c r="D854" s="2" t="s">
        <v>976</v>
      </c>
      <c r="E854" s="26" t="s">
        <v>633</v>
      </c>
      <c r="F854" s="2" t="s">
        <v>42</v>
      </c>
      <c r="G854" s="2" t="s">
        <v>1840</v>
      </c>
      <c r="H854" s="2" t="s">
        <v>437</v>
      </c>
      <c r="I854" s="363">
        <v>3675</v>
      </c>
      <c r="J854" s="347">
        <v>43.0996</v>
      </c>
      <c r="K854" s="357">
        <f t="shared" si="40"/>
        <v>85.26761269246119</v>
      </c>
      <c r="L854" s="476">
        <v>60</v>
      </c>
      <c r="M854" s="343">
        <f t="shared" si="41"/>
        <v>61.25</v>
      </c>
      <c r="N854" s="344">
        <f ca="1" t="shared" si="39"/>
        <v>94</v>
      </c>
      <c r="O854" s="33">
        <v>918.75</v>
      </c>
      <c r="P854" s="340" t="s">
        <v>634</v>
      </c>
    </row>
    <row r="855" spans="2:16" ht="39.75" customHeight="1">
      <c r="B855" s="25">
        <v>41744</v>
      </c>
      <c r="C855" s="340" t="s">
        <v>632</v>
      </c>
      <c r="D855" s="2" t="s">
        <v>977</v>
      </c>
      <c r="E855" s="26" t="s">
        <v>633</v>
      </c>
      <c r="F855" s="2" t="s">
        <v>42</v>
      </c>
      <c r="G855" s="2" t="s">
        <v>1840</v>
      </c>
      <c r="H855" s="2" t="s">
        <v>437</v>
      </c>
      <c r="I855" s="363">
        <v>3675</v>
      </c>
      <c r="J855" s="347">
        <v>43.0996</v>
      </c>
      <c r="K855" s="357">
        <f t="shared" si="40"/>
        <v>85.26761269246119</v>
      </c>
      <c r="L855" s="476">
        <v>60</v>
      </c>
      <c r="M855" s="343">
        <f t="shared" si="41"/>
        <v>61.25</v>
      </c>
      <c r="N855" s="344">
        <f ca="1" t="shared" si="39"/>
        <v>94</v>
      </c>
      <c r="O855" s="33">
        <v>918.75</v>
      </c>
      <c r="P855" s="340" t="s">
        <v>634</v>
      </c>
    </row>
    <row r="856" spans="2:16" ht="39.75" customHeight="1">
      <c r="B856" s="25">
        <v>41744</v>
      </c>
      <c r="C856" s="340" t="s">
        <v>632</v>
      </c>
      <c r="D856" s="2" t="s">
        <v>985</v>
      </c>
      <c r="E856" s="26" t="s">
        <v>633</v>
      </c>
      <c r="F856" s="2" t="s">
        <v>42</v>
      </c>
      <c r="G856" s="2" t="s">
        <v>1828</v>
      </c>
      <c r="H856" s="2" t="s">
        <v>437</v>
      </c>
      <c r="I856" s="363">
        <v>3675</v>
      </c>
      <c r="J856" s="347">
        <v>43.0996</v>
      </c>
      <c r="K856" s="357">
        <f t="shared" si="40"/>
        <v>85.26761269246119</v>
      </c>
      <c r="L856" s="476">
        <v>60</v>
      </c>
      <c r="M856" s="343">
        <f t="shared" si="41"/>
        <v>61.25</v>
      </c>
      <c r="N856" s="344">
        <f ca="1" t="shared" si="39"/>
        <v>94</v>
      </c>
      <c r="O856" s="33">
        <v>918.75</v>
      </c>
      <c r="P856" s="340" t="s">
        <v>634</v>
      </c>
    </row>
    <row r="857" spans="2:16" ht="39.75" customHeight="1">
      <c r="B857" s="25">
        <v>41744</v>
      </c>
      <c r="C857" s="340" t="s">
        <v>632</v>
      </c>
      <c r="D857" s="2" t="s">
        <v>982</v>
      </c>
      <c r="E857" s="26" t="s">
        <v>633</v>
      </c>
      <c r="F857" s="2" t="s">
        <v>42</v>
      </c>
      <c r="G857" s="2" t="s">
        <v>1835</v>
      </c>
      <c r="H857" s="2" t="s">
        <v>437</v>
      </c>
      <c r="I857" s="363">
        <v>3675</v>
      </c>
      <c r="J857" s="347">
        <v>43.0996</v>
      </c>
      <c r="K857" s="357">
        <f t="shared" si="40"/>
        <v>85.26761269246119</v>
      </c>
      <c r="L857" s="476">
        <v>60</v>
      </c>
      <c r="M857" s="343">
        <f t="shared" si="41"/>
        <v>30.625</v>
      </c>
      <c r="N857" s="344">
        <f ca="1" t="shared" si="39"/>
        <v>94</v>
      </c>
      <c r="O857" s="33">
        <v>918.75</v>
      </c>
      <c r="P857" s="340" t="s">
        <v>634</v>
      </c>
    </row>
    <row r="858" spans="2:16" ht="39.75" customHeight="1">
      <c r="B858" s="25">
        <v>41744</v>
      </c>
      <c r="C858" s="340" t="s">
        <v>632</v>
      </c>
      <c r="D858" s="2" t="s">
        <v>979</v>
      </c>
      <c r="E858" s="26" t="s">
        <v>633</v>
      </c>
      <c r="F858" s="2" t="s">
        <v>42</v>
      </c>
      <c r="G858" s="2" t="s">
        <v>3676</v>
      </c>
      <c r="H858" s="2" t="s">
        <v>437</v>
      </c>
      <c r="I858" s="363">
        <v>3675</v>
      </c>
      <c r="J858" s="347">
        <v>43.0996</v>
      </c>
      <c r="K858" s="357">
        <f t="shared" si="40"/>
        <v>85.26761269246119</v>
      </c>
      <c r="L858" s="476">
        <v>60</v>
      </c>
      <c r="M858" s="343">
        <f t="shared" si="41"/>
        <v>30.625</v>
      </c>
      <c r="N858" s="344">
        <f ca="1" t="shared" si="39"/>
        <v>94</v>
      </c>
      <c r="O858" s="33">
        <v>918.75</v>
      </c>
      <c r="P858" s="340" t="s">
        <v>634</v>
      </c>
    </row>
    <row r="859" spans="2:16" ht="39.75" customHeight="1">
      <c r="B859" s="25">
        <v>41744</v>
      </c>
      <c r="C859" s="340" t="s">
        <v>632</v>
      </c>
      <c r="D859" s="2" t="s">
        <v>970</v>
      </c>
      <c r="E859" s="26" t="s">
        <v>633</v>
      </c>
      <c r="F859" s="2" t="s">
        <v>42</v>
      </c>
      <c r="G859" s="2" t="s">
        <v>81</v>
      </c>
      <c r="H859" s="2" t="s">
        <v>437</v>
      </c>
      <c r="I859" s="363">
        <v>3675</v>
      </c>
      <c r="J859" s="347">
        <v>43.0996</v>
      </c>
      <c r="K859" s="357">
        <f t="shared" si="40"/>
        <v>85.26761269246119</v>
      </c>
      <c r="L859" s="476">
        <v>60</v>
      </c>
      <c r="M859" s="343">
        <f t="shared" si="41"/>
        <v>30.625</v>
      </c>
      <c r="N859" s="344">
        <f ca="1" t="shared" si="39"/>
        <v>94</v>
      </c>
      <c r="O859" s="33">
        <v>918.75</v>
      </c>
      <c r="P859" s="340" t="s">
        <v>634</v>
      </c>
    </row>
    <row r="860" spans="2:16" ht="39.75" customHeight="1">
      <c r="B860" s="371">
        <v>41744</v>
      </c>
      <c r="C860" s="340" t="s">
        <v>632</v>
      </c>
      <c r="D860" s="372" t="s">
        <v>971</v>
      </c>
      <c r="E860" s="373" t="s">
        <v>633</v>
      </c>
      <c r="F860" s="372" t="s">
        <v>42</v>
      </c>
      <c r="G860" s="372" t="s">
        <v>3990</v>
      </c>
      <c r="H860" s="372" t="s">
        <v>437</v>
      </c>
      <c r="I860" s="374">
        <v>3675</v>
      </c>
      <c r="J860" s="347">
        <v>43.0996</v>
      </c>
      <c r="K860" s="357">
        <f t="shared" si="40"/>
        <v>85.26761269246119</v>
      </c>
      <c r="L860" s="480">
        <v>60</v>
      </c>
      <c r="M860" s="343">
        <f t="shared" si="41"/>
        <v>30.625</v>
      </c>
      <c r="N860" s="344">
        <f ca="1" t="shared" si="39"/>
        <v>94</v>
      </c>
      <c r="O860" s="375">
        <v>918.75</v>
      </c>
      <c r="P860" s="340" t="s">
        <v>634</v>
      </c>
    </row>
    <row r="861" spans="2:16" ht="39.75" customHeight="1">
      <c r="B861" s="25">
        <v>41744</v>
      </c>
      <c r="C861" s="340" t="s">
        <v>632</v>
      </c>
      <c r="D861" s="2" t="s">
        <v>972</v>
      </c>
      <c r="E861" s="26" t="s">
        <v>633</v>
      </c>
      <c r="F861" s="2" t="s">
        <v>42</v>
      </c>
      <c r="G861" s="2" t="s">
        <v>81</v>
      </c>
      <c r="H861" s="2" t="s">
        <v>437</v>
      </c>
      <c r="I861" s="363">
        <v>3675</v>
      </c>
      <c r="J861" s="347">
        <v>43.0996</v>
      </c>
      <c r="K861" s="357">
        <f t="shared" si="40"/>
        <v>85.26761269246119</v>
      </c>
      <c r="L861" s="476">
        <v>60</v>
      </c>
      <c r="M861" s="343">
        <f t="shared" si="41"/>
        <v>61.25</v>
      </c>
      <c r="N861" s="344">
        <f ca="1" t="shared" si="39"/>
        <v>94</v>
      </c>
      <c r="O861" s="33">
        <v>918.75</v>
      </c>
      <c r="P861" s="340" t="s">
        <v>634</v>
      </c>
    </row>
    <row r="862" spans="2:16" ht="39.75" customHeight="1">
      <c r="B862" s="25">
        <v>41744</v>
      </c>
      <c r="C862" s="340" t="s">
        <v>632</v>
      </c>
      <c r="D862" s="2" t="s">
        <v>973</v>
      </c>
      <c r="E862" s="26" t="s">
        <v>633</v>
      </c>
      <c r="F862" s="2" t="s">
        <v>42</v>
      </c>
      <c r="G862" s="2" t="s">
        <v>81</v>
      </c>
      <c r="H862" s="2" t="s">
        <v>437</v>
      </c>
      <c r="I862" s="363">
        <v>3675</v>
      </c>
      <c r="J862" s="347">
        <v>43.0996</v>
      </c>
      <c r="K862" s="357">
        <f t="shared" si="40"/>
        <v>85.26761269246119</v>
      </c>
      <c r="L862" s="476">
        <v>60</v>
      </c>
      <c r="M862" s="343">
        <f t="shared" si="41"/>
        <v>61.25</v>
      </c>
      <c r="N862" s="344">
        <f ca="1" t="shared" si="39"/>
        <v>94</v>
      </c>
      <c r="O862" s="33">
        <v>918.75</v>
      </c>
      <c r="P862" s="340" t="s">
        <v>634</v>
      </c>
    </row>
    <row r="863" spans="2:16" ht="39.75" customHeight="1">
      <c r="B863" s="25">
        <v>41744</v>
      </c>
      <c r="C863" s="340" t="s">
        <v>632</v>
      </c>
      <c r="D863" s="2" t="s">
        <v>974</v>
      </c>
      <c r="E863" s="26" t="s">
        <v>633</v>
      </c>
      <c r="F863" s="2" t="s">
        <v>42</v>
      </c>
      <c r="G863" s="2" t="s">
        <v>81</v>
      </c>
      <c r="H863" s="2" t="s">
        <v>437</v>
      </c>
      <c r="I863" s="363">
        <v>3675</v>
      </c>
      <c r="J863" s="347">
        <v>43.0996</v>
      </c>
      <c r="K863" s="357">
        <f t="shared" si="40"/>
        <v>85.26761269246119</v>
      </c>
      <c r="L863" s="476">
        <v>60</v>
      </c>
      <c r="M863" s="343">
        <f t="shared" si="41"/>
        <v>61.25</v>
      </c>
      <c r="N863" s="344">
        <f ca="1" t="shared" si="39"/>
        <v>94</v>
      </c>
      <c r="O863" s="33">
        <v>918.75</v>
      </c>
      <c r="P863" s="340" t="s">
        <v>634</v>
      </c>
    </row>
    <row r="864" spans="2:16" ht="39.75" customHeight="1">
      <c r="B864" s="25">
        <v>41744</v>
      </c>
      <c r="C864" s="340" t="s">
        <v>632</v>
      </c>
      <c r="D864" s="2" t="s">
        <v>975</v>
      </c>
      <c r="E864" s="26" t="s">
        <v>633</v>
      </c>
      <c r="F864" s="2" t="s">
        <v>42</v>
      </c>
      <c r="G864" s="2" t="s">
        <v>81</v>
      </c>
      <c r="H864" s="2" t="s">
        <v>437</v>
      </c>
      <c r="I864" s="363">
        <v>3675</v>
      </c>
      <c r="J864" s="347">
        <v>43.0996</v>
      </c>
      <c r="K864" s="357">
        <f t="shared" si="40"/>
        <v>85.26761269246119</v>
      </c>
      <c r="L864" s="476">
        <v>60</v>
      </c>
      <c r="M864" s="343">
        <f t="shared" si="41"/>
        <v>61.25</v>
      </c>
      <c r="N864" s="344">
        <f ca="1" t="shared" si="39"/>
        <v>94</v>
      </c>
      <c r="O864" s="33">
        <v>918.75</v>
      </c>
      <c r="P864" s="340" t="s">
        <v>634</v>
      </c>
    </row>
    <row r="865" spans="2:16" ht="39.75" customHeight="1">
      <c r="B865" s="25">
        <v>41744</v>
      </c>
      <c r="C865" s="340" t="s">
        <v>632</v>
      </c>
      <c r="D865" s="2" t="s">
        <v>981</v>
      </c>
      <c r="E865" s="26" t="s">
        <v>633</v>
      </c>
      <c r="F865" s="2" t="s">
        <v>42</v>
      </c>
      <c r="G865" s="2" t="s">
        <v>81</v>
      </c>
      <c r="H865" s="2" t="s">
        <v>437</v>
      </c>
      <c r="I865" s="363">
        <v>3675</v>
      </c>
      <c r="J865" s="347">
        <v>43.0996</v>
      </c>
      <c r="K865" s="357">
        <f t="shared" si="40"/>
        <v>85.26761269246119</v>
      </c>
      <c r="L865" s="476">
        <v>60</v>
      </c>
      <c r="M865" s="343">
        <f t="shared" si="41"/>
        <v>61.25</v>
      </c>
      <c r="N865" s="344">
        <f ca="1" t="shared" si="39"/>
        <v>94</v>
      </c>
      <c r="O865" s="33">
        <v>918.75</v>
      </c>
      <c r="P865" s="340" t="s">
        <v>634</v>
      </c>
    </row>
    <row r="866" spans="2:16" ht="39.75" customHeight="1">
      <c r="B866" s="25">
        <v>41782</v>
      </c>
      <c r="C866" s="340" t="s">
        <v>635</v>
      </c>
      <c r="D866" s="2" t="s">
        <v>986</v>
      </c>
      <c r="E866" s="26" t="s">
        <v>733</v>
      </c>
      <c r="F866" s="2">
        <v>13120778</v>
      </c>
      <c r="G866" s="2" t="s">
        <v>347</v>
      </c>
      <c r="H866" s="2" t="s">
        <v>437</v>
      </c>
      <c r="I866" s="363">
        <v>6025.08</v>
      </c>
      <c r="J866" s="347">
        <v>43.1592</v>
      </c>
      <c r="K866" s="357">
        <f t="shared" si="40"/>
        <v>139.6012901073236</v>
      </c>
      <c r="L866" s="476">
        <v>60</v>
      </c>
      <c r="M866" s="343">
        <f t="shared" si="41"/>
        <v>100.41799999999999</v>
      </c>
      <c r="N866" s="344">
        <f ca="1" t="shared" si="39"/>
        <v>93</v>
      </c>
      <c r="O866" s="33">
        <v>1556.4790000000003</v>
      </c>
      <c r="P866" s="340" t="s">
        <v>636</v>
      </c>
    </row>
    <row r="867" spans="2:16" ht="39.75" customHeight="1">
      <c r="B867" s="25">
        <v>41789</v>
      </c>
      <c r="C867" s="340" t="s">
        <v>637</v>
      </c>
      <c r="D867" s="2" t="s">
        <v>987</v>
      </c>
      <c r="E867" s="26" t="s">
        <v>638</v>
      </c>
      <c r="F867" s="2">
        <v>14130074</v>
      </c>
      <c r="G867" s="2" t="s">
        <v>221</v>
      </c>
      <c r="H867" s="2" t="s">
        <v>437</v>
      </c>
      <c r="I867" s="363">
        <v>33908.950000000004</v>
      </c>
      <c r="J867" s="347">
        <v>43.217</v>
      </c>
      <c r="K867" s="357">
        <f t="shared" si="40"/>
        <v>784.6206353981073</v>
      </c>
      <c r="L867" s="476">
        <v>60</v>
      </c>
      <c r="M867" s="343">
        <f t="shared" si="41"/>
        <v>565.1491666666667</v>
      </c>
      <c r="N867" s="344">
        <f ca="1" t="shared" si="39"/>
        <v>93</v>
      </c>
      <c r="O867" s="33">
        <v>9042.386666666669</v>
      </c>
      <c r="P867" s="340" t="s">
        <v>636</v>
      </c>
    </row>
    <row r="868" spans="2:16" ht="39.75" customHeight="1">
      <c r="B868" s="25">
        <v>41831</v>
      </c>
      <c r="C868" s="340" t="s">
        <v>641</v>
      </c>
      <c r="D868" s="2" t="s">
        <v>988</v>
      </c>
      <c r="E868" s="26" t="s">
        <v>642</v>
      </c>
      <c r="F868" s="2" t="s">
        <v>42</v>
      </c>
      <c r="G868" s="2" t="s">
        <v>1837</v>
      </c>
      <c r="H868" s="2" t="s">
        <v>437</v>
      </c>
      <c r="I868" s="363">
        <v>3495</v>
      </c>
      <c r="J868" s="347">
        <v>43.4167</v>
      </c>
      <c r="K868" s="357">
        <f t="shared" si="40"/>
        <v>80.49897850366334</v>
      </c>
      <c r="L868" s="476">
        <v>60</v>
      </c>
      <c r="M868" s="343">
        <f t="shared" si="41"/>
        <v>58.25</v>
      </c>
      <c r="N868" s="344">
        <f ca="1" t="shared" si="39"/>
        <v>91</v>
      </c>
      <c r="O868" s="33">
        <v>961.125</v>
      </c>
      <c r="P868" s="340" t="s">
        <v>643</v>
      </c>
    </row>
    <row r="869" spans="2:16" ht="39.75" customHeight="1">
      <c r="B869" s="25">
        <v>41842</v>
      </c>
      <c r="C869" s="340" t="s">
        <v>644</v>
      </c>
      <c r="D869" s="2" t="s">
        <v>989</v>
      </c>
      <c r="E869" s="26" t="s">
        <v>633</v>
      </c>
      <c r="F869" s="2" t="s">
        <v>42</v>
      </c>
      <c r="G869" s="2" t="s">
        <v>1837</v>
      </c>
      <c r="H869" s="2" t="s">
        <v>437</v>
      </c>
      <c r="I869" s="363">
        <v>4460</v>
      </c>
      <c r="J869" s="347">
        <v>43.4756</v>
      </c>
      <c r="K869" s="357">
        <f t="shared" si="40"/>
        <v>102.58627828023074</v>
      </c>
      <c r="L869" s="476">
        <v>60</v>
      </c>
      <c r="M869" s="343">
        <f t="shared" si="41"/>
        <v>74.33333333333333</v>
      </c>
      <c r="N869" s="344">
        <f ca="1" t="shared" si="39"/>
        <v>91</v>
      </c>
      <c r="O869" s="33">
        <v>1226.5</v>
      </c>
      <c r="P869" s="340" t="s">
        <v>634</v>
      </c>
    </row>
    <row r="870" spans="2:16" ht="39.75" customHeight="1">
      <c r="B870" s="25">
        <v>42059</v>
      </c>
      <c r="C870" s="340" t="s">
        <v>658</v>
      </c>
      <c r="D870" s="2" t="s">
        <v>893</v>
      </c>
      <c r="E870" s="26" t="s">
        <v>671</v>
      </c>
      <c r="F870" s="2" t="s">
        <v>672</v>
      </c>
      <c r="G870" s="2" t="s">
        <v>615</v>
      </c>
      <c r="H870" s="2" t="s">
        <v>437</v>
      </c>
      <c r="I870" s="363">
        <v>9815.2</v>
      </c>
      <c r="J870" s="347">
        <v>44.6942</v>
      </c>
      <c r="K870" s="357">
        <f t="shared" si="40"/>
        <v>219.60791333103626</v>
      </c>
      <c r="L870" s="476">
        <v>60</v>
      </c>
      <c r="M870" s="343">
        <f t="shared" si="41"/>
        <v>163.58666666666667</v>
      </c>
      <c r="N870" s="344">
        <f ca="1" t="shared" si="39"/>
        <v>84</v>
      </c>
      <c r="O870" s="33">
        <v>3353.5266666666676</v>
      </c>
      <c r="P870" s="340" t="s">
        <v>636</v>
      </c>
    </row>
    <row r="871" spans="2:16" ht="39.75" customHeight="1">
      <c r="B871" s="25">
        <v>42079</v>
      </c>
      <c r="C871" s="340" t="s">
        <v>659</v>
      </c>
      <c r="D871" s="2" t="s">
        <v>894</v>
      </c>
      <c r="E871" s="26" t="s">
        <v>673</v>
      </c>
      <c r="F871" s="2" t="s">
        <v>674</v>
      </c>
      <c r="G871" s="2" t="s">
        <v>3668</v>
      </c>
      <c r="H871" s="2" t="s">
        <v>437</v>
      </c>
      <c r="I871" s="363">
        <v>25172.3</v>
      </c>
      <c r="J871" s="347">
        <v>44.6233</v>
      </c>
      <c r="K871" s="357">
        <f t="shared" si="40"/>
        <v>564.1066438385328</v>
      </c>
      <c r="L871" s="476">
        <v>60</v>
      </c>
      <c r="M871" s="343">
        <f t="shared" si="41"/>
        <v>419.5383333333333</v>
      </c>
      <c r="N871" s="344">
        <f ca="1" t="shared" si="39"/>
        <v>83</v>
      </c>
      <c r="O871" s="33">
        <v>8600.535833333335</v>
      </c>
      <c r="P871" s="340" t="s">
        <v>675</v>
      </c>
    </row>
    <row r="872" spans="2:16" ht="39.75" customHeight="1">
      <c r="B872" s="25">
        <v>42087</v>
      </c>
      <c r="C872" s="340" t="s">
        <v>662</v>
      </c>
      <c r="D872" s="2" t="s">
        <v>895</v>
      </c>
      <c r="E872" s="26" t="s">
        <v>676</v>
      </c>
      <c r="F872" s="2" t="s">
        <v>42</v>
      </c>
      <c r="G872" s="2" t="s">
        <v>615</v>
      </c>
      <c r="H872" s="2" t="s">
        <v>437</v>
      </c>
      <c r="I872" s="363">
        <v>7100</v>
      </c>
      <c r="J872" s="347">
        <v>44.6843</v>
      </c>
      <c r="K872" s="357">
        <f t="shared" si="40"/>
        <v>158.89249691726175</v>
      </c>
      <c r="L872" s="476">
        <v>60</v>
      </c>
      <c r="M872" s="343">
        <f t="shared" si="41"/>
        <v>118.33333333333333</v>
      </c>
      <c r="N872" s="344">
        <f ca="1" t="shared" si="39"/>
        <v>83</v>
      </c>
      <c r="O872" s="33">
        <v>2485</v>
      </c>
      <c r="P872" s="340" t="s">
        <v>681</v>
      </c>
    </row>
    <row r="873" spans="2:16" ht="39.75" customHeight="1">
      <c r="B873" s="25">
        <v>42087</v>
      </c>
      <c r="C873" s="340" t="s">
        <v>660</v>
      </c>
      <c r="D873" s="2" t="s">
        <v>896</v>
      </c>
      <c r="E873" s="26" t="s">
        <v>676</v>
      </c>
      <c r="F873" s="2" t="s">
        <v>42</v>
      </c>
      <c r="G873" s="2" t="s">
        <v>615</v>
      </c>
      <c r="H873" s="2" t="s">
        <v>437</v>
      </c>
      <c r="I873" s="363">
        <v>7100</v>
      </c>
      <c r="J873" s="347">
        <v>44.6296</v>
      </c>
      <c r="K873" s="357">
        <f t="shared" si="40"/>
        <v>159.0872425475469</v>
      </c>
      <c r="L873" s="476">
        <v>60</v>
      </c>
      <c r="M873" s="343">
        <f t="shared" si="41"/>
        <v>118.33333333333333</v>
      </c>
      <c r="N873" s="344">
        <f ca="1" t="shared" si="39"/>
        <v>83</v>
      </c>
      <c r="O873" s="33">
        <v>2485</v>
      </c>
      <c r="P873" s="340" t="s">
        <v>677</v>
      </c>
    </row>
    <row r="874" spans="2:16" ht="39.75" customHeight="1">
      <c r="B874" s="25">
        <v>42087</v>
      </c>
      <c r="C874" s="340" t="s">
        <v>661</v>
      </c>
      <c r="D874" s="2" t="s">
        <v>897</v>
      </c>
      <c r="E874" s="26" t="s">
        <v>678</v>
      </c>
      <c r="F874" s="2" t="s">
        <v>679</v>
      </c>
      <c r="G874" s="2" t="s">
        <v>615</v>
      </c>
      <c r="H874" s="2" t="s">
        <v>437</v>
      </c>
      <c r="I874" s="363">
        <v>3822</v>
      </c>
      <c r="J874" s="347">
        <v>44.6296</v>
      </c>
      <c r="K874" s="357">
        <f t="shared" si="40"/>
        <v>85.6382311291161</v>
      </c>
      <c r="L874" s="476">
        <v>60</v>
      </c>
      <c r="M874" s="343">
        <f t="shared" si="41"/>
        <v>63.7</v>
      </c>
      <c r="N874" s="344">
        <f ca="1" t="shared" si="39"/>
        <v>83</v>
      </c>
      <c r="O874" s="33">
        <v>1337.6999999999998</v>
      </c>
      <c r="P874" s="340" t="s">
        <v>680</v>
      </c>
    </row>
    <row r="875" spans="2:16" ht="39.75" customHeight="1">
      <c r="B875" s="25">
        <v>42142</v>
      </c>
      <c r="C875" s="340" t="s">
        <v>663</v>
      </c>
      <c r="D875" s="2" t="s">
        <v>901</v>
      </c>
      <c r="E875" s="26" t="s">
        <v>685</v>
      </c>
      <c r="F875" s="2" t="s">
        <v>42</v>
      </c>
      <c r="G875" s="2" t="s">
        <v>81</v>
      </c>
      <c r="H875" s="2" t="s">
        <v>437</v>
      </c>
      <c r="I875" s="363">
        <v>18025</v>
      </c>
      <c r="J875" s="347">
        <v>44.7542</v>
      </c>
      <c r="K875" s="357">
        <f t="shared" si="40"/>
        <v>402.75549557359983</v>
      </c>
      <c r="L875" s="476">
        <v>60</v>
      </c>
      <c r="M875" s="343">
        <f t="shared" si="41"/>
        <v>300.4166666666667</v>
      </c>
      <c r="N875" s="344">
        <f ca="1" t="shared" si="39"/>
        <v>81</v>
      </c>
      <c r="O875" s="33">
        <v>6458.958333333332</v>
      </c>
      <c r="P875" s="340" t="s">
        <v>687</v>
      </c>
    </row>
    <row r="876" spans="2:16" ht="39.75" customHeight="1">
      <c r="B876" s="25">
        <v>42142</v>
      </c>
      <c r="C876" s="340" t="s">
        <v>663</v>
      </c>
      <c r="D876" s="2" t="s">
        <v>902</v>
      </c>
      <c r="E876" s="26" t="s">
        <v>685</v>
      </c>
      <c r="F876" s="2" t="s">
        <v>42</v>
      </c>
      <c r="G876" s="2" t="s">
        <v>81</v>
      </c>
      <c r="H876" s="2" t="s">
        <v>437</v>
      </c>
      <c r="I876" s="363">
        <v>18025</v>
      </c>
      <c r="J876" s="347">
        <v>44.7542</v>
      </c>
      <c r="K876" s="357">
        <f t="shared" si="40"/>
        <v>402.75549557359983</v>
      </c>
      <c r="L876" s="476">
        <v>60</v>
      </c>
      <c r="M876" s="343">
        <f t="shared" si="41"/>
        <v>300.4166666666667</v>
      </c>
      <c r="N876" s="344">
        <f ca="1" t="shared" si="39"/>
        <v>81</v>
      </c>
      <c r="O876" s="33">
        <v>6458.958333333332</v>
      </c>
      <c r="P876" s="340" t="s">
        <v>687</v>
      </c>
    </row>
    <row r="877" spans="2:16" ht="39.75" customHeight="1">
      <c r="B877" s="25">
        <v>42142</v>
      </c>
      <c r="C877" s="340" t="s">
        <v>663</v>
      </c>
      <c r="D877" s="2" t="s">
        <v>900</v>
      </c>
      <c r="E877" s="26" t="s">
        <v>689</v>
      </c>
      <c r="F877" s="2" t="s">
        <v>690</v>
      </c>
      <c r="G877" s="2" t="s">
        <v>824</v>
      </c>
      <c r="H877" s="2" t="s">
        <v>691</v>
      </c>
      <c r="I877" s="363">
        <v>25500</v>
      </c>
      <c r="J877" s="347">
        <v>44.7542</v>
      </c>
      <c r="K877" s="357">
        <f t="shared" si="40"/>
        <v>569.7789257767986</v>
      </c>
      <c r="L877" s="476">
        <v>60</v>
      </c>
      <c r="M877" s="343">
        <f t="shared" si="41"/>
        <v>425</v>
      </c>
      <c r="N877" s="344">
        <f ca="1" t="shared" si="39"/>
        <v>81</v>
      </c>
      <c r="O877" s="33">
        <v>9137.5</v>
      </c>
      <c r="P877" s="340" t="s">
        <v>687</v>
      </c>
    </row>
    <row r="878" spans="2:16" ht="39.75" customHeight="1">
      <c r="B878" s="25">
        <v>42142</v>
      </c>
      <c r="C878" s="340" t="s">
        <v>663</v>
      </c>
      <c r="D878" s="2" t="s">
        <v>898</v>
      </c>
      <c r="E878" s="26" t="s">
        <v>685</v>
      </c>
      <c r="F878" s="2" t="s">
        <v>686</v>
      </c>
      <c r="G878" s="2" t="s">
        <v>821</v>
      </c>
      <c r="H878" s="2" t="s">
        <v>683</v>
      </c>
      <c r="I878" s="363">
        <v>18025</v>
      </c>
      <c r="J878" s="347">
        <v>44.7542</v>
      </c>
      <c r="K878" s="357">
        <f t="shared" si="40"/>
        <v>402.75549557359983</v>
      </c>
      <c r="L878" s="476">
        <v>60</v>
      </c>
      <c r="M878" s="343">
        <f t="shared" si="41"/>
        <v>300.4166666666667</v>
      </c>
      <c r="N878" s="344">
        <f ca="1" t="shared" si="39"/>
        <v>81</v>
      </c>
      <c r="O878" s="33">
        <v>6458.958333333332</v>
      </c>
      <c r="P878" s="340" t="s">
        <v>687</v>
      </c>
    </row>
    <row r="879" spans="2:16" ht="39.75" customHeight="1">
      <c r="B879" s="25">
        <v>42142</v>
      </c>
      <c r="C879" s="340" t="s">
        <v>663</v>
      </c>
      <c r="D879" s="2" t="s">
        <v>937</v>
      </c>
      <c r="E879" s="26" t="s">
        <v>692</v>
      </c>
      <c r="F879" s="2" t="s">
        <v>42</v>
      </c>
      <c r="G879" s="2" t="s">
        <v>1874</v>
      </c>
      <c r="H879" s="2" t="s">
        <v>731</v>
      </c>
      <c r="I879" s="363">
        <v>57424.990000000005</v>
      </c>
      <c r="J879" s="347">
        <v>44.7542</v>
      </c>
      <c r="K879" s="357">
        <f t="shared" si="40"/>
        <v>1283.1195731350356</v>
      </c>
      <c r="L879" s="476">
        <v>60</v>
      </c>
      <c r="M879" s="343">
        <f t="shared" si="41"/>
        <v>957.0831666666668</v>
      </c>
      <c r="N879" s="344">
        <f ca="1" t="shared" si="39"/>
        <v>81</v>
      </c>
      <c r="O879" s="33">
        <v>20577.288083333333</v>
      </c>
      <c r="P879" s="340" t="s">
        <v>687</v>
      </c>
    </row>
    <row r="880" spans="2:16" ht="39.75" customHeight="1">
      <c r="B880" s="25">
        <v>42142</v>
      </c>
      <c r="C880" s="340" t="s">
        <v>663</v>
      </c>
      <c r="D880" s="2" t="s">
        <v>899</v>
      </c>
      <c r="E880" s="26" t="s">
        <v>685</v>
      </c>
      <c r="F880" s="2" t="s">
        <v>688</v>
      </c>
      <c r="G880" s="2" t="s">
        <v>821</v>
      </c>
      <c r="H880" s="2" t="s">
        <v>683</v>
      </c>
      <c r="I880" s="363">
        <v>18025</v>
      </c>
      <c r="J880" s="347">
        <v>44.7542</v>
      </c>
      <c r="K880" s="357">
        <f t="shared" si="40"/>
        <v>402.75549557359983</v>
      </c>
      <c r="L880" s="476">
        <v>60</v>
      </c>
      <c r="M880" s="343">
        <f t="shared" si="41"/>
        <v>300.4166666666667</v>
      </c>
      <c r="N880" s="344">
        <f ca="1" t="shared" si="39"/>
        <v>81</v>
      </c>
      <c r="O880" s="33">
        <v>6458.958333333332</v>
      </c>
      <c r="P880" s="340" t="s">
        <v>687</v>
      </c>
    </row>
    <row r="881" spans="2:16" ht="39.75" customHeight="1">
      <c r="B881" s="25">
        <v>42144</v>
      </c>
      <c r="C881" s="340" t="s">
        <v>663</v>
      </c>
      <c r="D881" s="2" t="s">
        <v>939</v>
      </c>
      <c r="E881" s="26" t="s">
        <v>671</v>
      </c>
      <c r="F881" s="2" t="s">
        <v>695</v>
      </c>
      <c r="G881" s="2" t="s">
        <v>3273</v>
      </c>
      <c r="H881" s="2" t="s">
        <v>437</v>
      </c>
      <c r="I881" s="363">
        <v>10330</v>
      </c>
      <c r="J881" s="347">
        <v>44.7542</v>
      </c>
      <c r="K881" s="357">
        <f t="shared" si="40"/>
        <v>230.81632561860118</v>
      </c>
      <c r="L881" s="476">
        <v>60</v>
      </c>
      <c r="M881" s="343">
        <f t="shared" si="41"/>
        <v>172.16666666666666</v>
      </c>
      <c r="N881" s="344">
        <f ca="1" t="shared" si="39"/>
        <v>81</v>
      </c>
      <c r="O881" s="33">
        <v>3701.583333333334</v>
      </c>
      <c r="P881" s="340" t="s">
        <v>687</v>
      </c>
    </row>
    <row r="882" spans="2:16" ht="39.75" customHeight="1">
      <c r="B882" s="25">
        <v>42144</v>
      </c>
      <c r="C882" s="340" t="s">
        <v>665</v>
      </c>
      <c r="D882" s="2" t="s">
        <v>908</v>
      </c>
      <c r="E882" s="26" t="s">
        <v>703</v>
      </c>
      <c r="F882" s="2" t="s">
        <v>42</v>
      </c>
      <c r="G882" s="2" t="s">
        <v>824</v>
      </c>
      <c r="H882" s="2" t="s">
        <v>691</v>
      </c>
      <c r="I882" s="363">
        <v>4860.540000000001</v>
      </c>
      <c r="J882" s="347">
        <v>44.7542</v>
      </c>
      <c r="K882" s="357">
        <f t="shared" si="40"/>
        <v>108.60522587824163</v>
      </c>
      <c r="L882" s="476">
        <v>60</v>
      </c>
      <c r="M882" s="343">
        <f t="shared" si="41"/>
        <v>81.00900000000001</v>
      </c>
      <c r="N882" s="344">
        <f ca="1" t="shared" si="39"/>
        <v>81</v>
      </c>
      <c r="O882" s="33">
        <v>1741.6935000000003</v>
      </c>
      <c r="P882" s="340" t="s">
        <v>699</v>
      </c>
    </row>
    <row r="883" spans="2:16" ht="39.75" customHeight="1">
      <c r="B883" s="25">
        <v>42144</v>
      </c>
      <c r="C883" s="340" t="s">
        <v>665</v>
      </c>
      <c r="D883" s="2" t="s">
        <v>909</v>
      </c>
      <c r="E883" s="26" t="s">
        <v>700</v>
      </c>
      <c r="F883" s="2" t="s">
        <v>42</v>
      </c>
      <c r="G883" s="2" t="s">
        <v>824</v>
      </c>
      <c r="H883" s="2" t="s">
        <v>691</v>
      </c>
      <c r="I883" s="363">
        <v>5946.79</v>
      </c>
      <c r="J883" s="347">
        <v>44.7542</v>
      </c>
      <c r="K883" s="357">
        <f t="shared" si="40"/>
        <v>132.87669090275327</v>
      </c>
      <c r="L883" s="476">
        <v>60</v>
      </c>
      <c r="M883" s="343">
        <f t="shared" si="41"/>
        <v>99.11316666666667</v>
      </c>
      <c r="N883" s="344">
        <f ca="1" t="shared" si="39"/>
        <v>81</v>
      </c>
      <c r="O883" s="33">
        <v>2130.933083333333</v>
      </c>
      <c r="P883" s="340" t="s">
        <v>699</v>
      </c>
    </row>
    <row r="884" spans="2:16" ht="39.75" customHeight="1">
      <c r="B884" s="25">
        <v>42144</v>
      </c>
      <c r="C884" s="340" t="s">
        <v>665</v>
      </c>
      <c r="D884" s="2" t="s">
        <v>912</v>
      </c>
      <c r="E884" s="26" t="s">
        <v>705</v>
      </c>
      <c r="F884" s="2" t="s">
        <v>42</v>
      </c>
      <c r="G884" s="2" t="s">
        <v>824</v>
      </c>
      <c r="H884" s="2" t="s">
        <v>691</v>
      </c>
      <c r="I884" s="363">
        <v>10593.45</v>
      </c>
      <c r="J884" s="347">
        <v>44.7542</v>
      </c>
      <c r="K884" s="357">
        <f t="shared" si="40"/>
        <v>236.7029239713815</v>
      </c>
      <c r="L884" s="476">
        <v>60</v>
      </c>
      <c r="M884" s="343">
        <f t="shared" si="41"/>
        <v>176.5575</v>
      </c>
      <c r="N884" s="344">
        <f ca="1" t="shared" si="39"/>
        <v>81</v>
      </c>
      <c r="O884" s="33">
        <v>3795.986250000001</v>
      </c>
      <c r="P884" s="340" t="s">
        <v>699</v>
      </c>
    </row>
    <row r="885" spans="2:16" ht="39.75" customHeight="1">
      <c r="B885" s="25">
        <v>42144</v>
      </c>
      <c r="C885" s="340" t="s">
        <v>665</v>
      </c>
      <c r="D885" s="2" t="s">
        <v>913</v>
      </c>
      <c r="E885" s="26" t="s">
        <v>35</v>
      </c>
      <c r="F885" s="2" t="s">
        <v>42</v>
      </c>
      <c r="G885" s="2" t="s">
        <v>824</v>
      </c>
      <c r="H885" s="2" t="s">
        <v>691</v>
      </c>
      <c r="I885" s="363">
        <v>1223.66</v>
      </c>
      <c r="J885" s="347">
        <v>44.7482</v>
      </c>
      <c r="K885" s="357">
        <f t="shared" si="40"/>
        <v>27.345457470915036</v>
      </c>
      <c r="L885" s="476">
        <v>60</v>
      </c>
      <c r="M885" s="343">
        <f t="shared" si="41"/>
        <v>20.394333333333336</v>
      </c>
      <c r="N885" s="344">
        <f ca="1" t="shared" si="39"/>
        <v>81</v>
      </c>
      <c r="O885" s="33">
        <v>438.47816666666665</v>
      </c>
      <c r="P885" s="340" t="s">
        <v>699</v>
      </c>
    </row>
    <row r="886" spans="2:16" ht="39.75" customHeight="1">
      <c r="B886" s="25">
        <v>42144</v>
      </c>
      <c r="C886" s="340" t="s">
        <v>665</v>
      </c>
      <c r="D886" s="2" t="s">
        <v>914</v>
      </c>
      <c r="E886" s="26" t="s">
        <v>35</v>
      </c>
      <c r="F886" s="2" t="s">
        <v>42</v>
      </c>
      <c r="G886" s="2" t="s">
        <v>824</v>
      </c>
      <c r="H886" s="2" t="s">
        <v>691</v>
      </c>
      <c r="I886" s="363">
        <v>1223.66</v>
      </c>
      <c r="J886" s="347">
        <v>44.7482</v>
      </c>
      <c r="K886" s="357">
        <f t="shared" si="40"/>
        <v>27.345457470915036</v>
      </c>
      <c r="L886" s="476">
        <v>60</v>
      </c>
      <c r="M886" s="343">
        <f t="shared" si="41"/>
        <v>20.394333333333336</v>
      </c>
      <c r="N886" s="344">
        <f ca="1" t="shared" si="39"/>
        <v>81</v>
      </c>
      <c r="O886" s="33">
        <v>438.47816666666665</v>
      </c>
      <c r="P886" s="340" t="s">
        <v>699</v>
      </c>
    </row>
    <row r="887" spans="2:16" ht="39.75" customHeight="1">
      <c r="B887" s="25">
        <v>42144</v>
      </c>
      <c r="C887" s="340" t="s">
        <v>665</v>
      </c>
      <c r="D887" s="2" t="s">
        <v>915</v>
      </c>
      <c r="E887" s="26" t="s">
        <v>35</v>
      </c>
      <c r="F887" s="2" t="s">
        <v>42</v>
      </c>
      <c r="G887" s="2" t="s">
        <v>824</v>
      </c>
      <c r="H887" s="2" t="s">
        <v>691</v>
      </c>
      <c r="I887" s="363">
        <v>1223.66</v>
      </c>
      <c r="J887" s="347">
        <v>44.7482</v>
      </c>
      <c r="K887" s="357">
        <f t="shared" si="40"/>
        <v>27.345457470915036</v>
      </c>
      <c r="L887" s="476">
        <v>60</v>
      </c>
      <c r="M887" s="343">
        <f t="shared" si="41"/>
        <v>20.394333333333336</v>
      </c>
      <c r="N887" s="344">
        <f ca="1" t="shared" si="39"/>
        <v>81</v>
      </c>
      <c r="O887" s="33">
        <v>438.47816666666665</v>
      </c>
      <c r="P887" s="340" t="s">
        <v>699</v>
      </c>
    </row>
    <row r="888" spans="2:16" ht="39.75" customHeight="1">
      <c r="B888" s="25">
        <v>42144</v>
      </c>
      <c r="C888" s="340" t="s">
        <v>665</v>
      </c>
      <c r="D888" s="2" t="s">
        <v>916</v>
      </c>
      <c r="E888" s="26" t="s">
        <v>35</v>
      </c>
      <c r="F888" s="2" t="s">
        <v>42</v>
      </c>
      <c r="G888" s="2" t="s">
        <v>824</v>
      </c>
      <c r="H888" s="2" t="s">
        <v>691</v>
      </c>
      <c r="I888" s="363">
        <v>1223.66</v>
      </c>
      <c r="J888" s="347">
        <v>44.7482</v>
      </c>
      <c r="K888" s="357">
        <f t="shared" si="40"/>
        <v>27.345457470915036</v>
      </c>
      <c r="L888" s="476">
        <v>60</v>
      </c>
      <c r="M888" s="343">
        <f t="shared" si="41"/>
        <v>20.394333333333336</v>
      </c>
      <c r="N888" s="344">
        <f ca="1" t="shared" si="39"/>
        <v>81</v>
      </c>
      <c r="O888" s="33">
        <v>438.47816666666665</v>
      </c>
      <c r="P888" s="340" t="s">
        <v>699</v>
      </c>
    </row>
    <row r="889" spans="2:16" ht="39.75" customHeight="1">
      <c r="B889" s="25">
        <v>42144</v>
      </c>
      <c r="C889" s="340" t="s">
        <v>665</v>
      </c>
      <c r="D889" s="2" t="s">
        <v>917</v>
      </c>
      <c r="E889" s="26" t="s">
        <v>701</v>
      </c>
      <c r="F889" s="2" t="s">
        <v>42</v>
      </c>
      <c r="G889" s="2" t="s">
        <v>824</v>
      </c>
      <c r="H889" s="2" t="s">
        <v>691</v>
      </c>
      <c r="I889" s="363">
        <v>7174.4</v>
      </c>
      <c r="J889" s="347">
        <v>44.7482</v>
      </c>
      <c r="K889" s="357">
        <f t="shared" si="40"/>
        <v>160.3282366665028</v>
      </c>
      <c r="L889" s="476">
        <v>60</v>
      </c>
      <c r="M889" s="343">
        <f t="shared" si="41"/>
        <v>119.57333333333332</v>
      </c>
      <c r="N889" s="344">
        <f ca="1" t="shared" si="39"/>
        <v>81</v>
      </c>
      <c r="O889" s="33">
        <v>2570.826666666667</v>
      </c>
      <c r="P889" s="340" t="s">
        <v>699</v>
      </c>
    </row>
    <row r="890" spans="2:16" ht="39.75" customHeight="1">
      <c r="B890" s="25">
        <v>42144</v>
      </c>
      <c r="C890" s="340" t="s">
        <v>665</v>
      </c>
      <c r="D890" s="2" t="s">
        <v>918</v>
      </c>
      <c r="E890" s="26" t="s">
        <v>528</v>
      </c>
      <c r="F890" s="2" t="s">
        <v>42</v>
      </c>
      <c r="G890" s="2" t="s">
        <v>824</v>
      </c>
      <c r="H890" s="2" t="s">
        <v>691</v>
      </c>
      <c r="I890" s="363">
        <v>3209.6</v>
      </c>
      <c r="J890" s="347">
        <v>44.7482</v>
      </c>
      <c r="K890" s="357">
        <f t="shared" si="40"/>
        <v>71.72579008764599</v>
      </c>
      <c r="L890" s="476">
        <v>60</v>
      </c>
      <c r="M890" s="343">
        <f t="shared" si="41"/>
        <v>53.49333333333333</v>
      </c>
      <c r="N890" s="344">
        <f ca="1" t="shared" si="39"/>
        <v>81</v>
      </c>
      <c r="O890" s="33">
        <v>1150.1066666666666</v>
      </c>
      <c r="P890" s="340" t="s">
        <v>699</v>
      </c>
    </row>
    <row r="891" spans="2:16" ht="39.75" customHeight="1">
      <c r="B891" s="25">
        <v>42144</v>
      </c>
      <c r="C891" s="340" t="s">
        <v>665</v>
      </c>
      <c r="D891" s="2" t="s">
        <v>919</v>
      </c>
      <c r="E891" s="26" t="s">
        <v>528</v>
      </c>
      <c r="F891" s="2" t="s">
        <v>42</v>
      </c>
      <c r="G891" s="2" t="s">
        <v>824</v>
      </c>
      <c r="H891" s="2" t="s">
        <v>691</v>
      </c>
      <c r="I891" s="363">
        <v>3209.6</v>
      </c>
      <c r="J891" s="347">
        <v>44.7482</v>
      </c>
      <c r="K891" s="357">
        <f t="shared" si="40"/>
        <v>71.72579008764599</v>
      </c>
      <c r="L891" s="476">
        <v>60</v>
      </c>
      <c r="M891" s="343">
        <f t="shared" si="41"/>
        <v>53.49333333333333</v>
      </c>
      <c r="N891" s="344">
        <f ca="1" t="shared" si="39"/>
        <v>81</v>
      </c>
      <c r="O891" s="33">
        <v>1150.1066666666666</v>
      </c>
      <c r="P891" s="340" t="s">
        <v>699</v>
      </c>
    </row>
    <row r="892" spans="2:16" ht="39.75" customHeight="1">
      <c r="B892" s="25">
        <v>42144</v>
      </c>
      <c r="C892" s="340" t="s">
        <v>664</v>
      </c>
      <c r="D892" s="2" t="s">
        <v>903</v>
      </c>
      <c r="E892" s="26" t="s">
        <v>671</v>
      </c>
      <c r="F892" s="2" t="s">
        <v>693</v>
      </c>
      <c r="G892" s="2" t="s">
        <v>821</v>
      </c>
      <c r="H892" s="2" t="s">
        <v>683</v>
      </c>
      <c r="I892" s="363">
        <v>10330</v>
      </c>
      <c r="J892" s="347">
        <v>44.7482</v>
      </c>
      <c r="K892" s="357">
        <f t="shared" si="40"/>
        <v>230.8472743037709</v>
      </c>
      <c r="L892" s="476">
        <v>60</v>
      </c>
      <c r="M892" s="343">
        <f t="shared" si="41"/>
        <v>172.16666666666666</v>
      </c>
      <c r="N892" s="344">
        <f ca="1" t="shared" si="39"/>
        <v>81</v>
      </c>
      <c r="O892" s="33">
        <v>3701.583333333334</v>
      </c>
      <c r="P892" s="340" t="s">
        <v>694</v>
      </c>
    </row>
    <row r="893" spans="2:16" ht="39.75" customHeight="1">
      <c r="B893" s="25">
        <v>42144</v>
      </c>
      <c r="C893" s="340" t="s">
        <v>665</v>
      </c>
      <c r="D893" s="2" t="s">
        <v>904</v>
      </c>
      <c r="E893" s="26" t="s">
        <v>703</v>
      </c>
      <c r="F893" s="2" t="s">
        <v>42</v>
      </c>
      <c r="G893" s="2" t="s">
        <v>821</v>
      </c>
      <c r="H893" s="2" t="s">
        <v>683</v>
      </c>
      <c r="I893" s="363">
        <v>4860.540000000001</v>
      </c>
      <c r="J893" s="347">
        <v>44.7482</v>
      </c>
      <c r="K893" s="357">
        <f t="shared" si="40"/>
        <v>108.61978805851412</v>
      </c>
      <c r="L893" s="476">
        <v>60</v>
      </c>
      <c r="M893" s="343">
        <f t="shared" si="41"/>
        <v>81.00900000000001</v>
      </c>
      <c r="N893" s="344">
        <f ca="1" t="shared" si="39"/>
        <v>81</v>
      </c>
      <c r="O893" s="33">
        <v>1741.6935000000003</v>
      </c>
      <c r="P893" s="340" t="s">
        <v>699</v>
      </c>
    </row>
    <row r="894" spans="2:16" ht="39.75" customHeight="1">
      <c r="B894" s="25">
        <v>42144</v>
      </c>
      <c r="C894" s="340" t="s">
        <v>665</v>
      </c>
      <c r="D894" s="2" t="s">
        <v>905</v>
      </c>
      <c r="E894" s="26" t="s">
        <v>703</v>
      </c>
      <c r="F894" s="2" t="s">
        <v>42</v>
      </c>
      <c r="G894" s="2" t="s">
        <v>821</v>
      </c>
      <c r="H894" s="2" t="s">
        <v>683</v>
      </c>
      <c r="I894" s="363">
        <v>4860.540000000001</v>
      </c>
      <c r="J894" s="347">
        <v>44.7482</v>
      </c>
      <c r="K894" s="357">
        <f t="shared" si="40"/>
        <v>108.61978805851412</v>
      </c>
      <c r="L894" s="476">
        <v>60</v>
      </c>
      <c r="M894" s="343">
        <f t="shared" si="41"/>
        <v>81.00900000000001</v>
      </c>
      <c r="N894" s="344">
        <f ca="1" t="shared" si="39"/>
        <v>81</v>
      </c>
      <c r="O894" s="33">
        <v>1741.6935000000003</v>
      </c>
      <c r="P894" s="340" t="s">
        <v>699</v>
      </c>
    </row>
    <row r="895" spans="2:16" ht="39.75" customHeight="1">
      <c r="B895" s="25">
        <v>42144</v>
      </c>
      <c r="C895" s="340" t="s">
        <v>665</v>
      </c>
      <c r="D895" s="2" t="s">
        <v>906</v>
      </c>
      <c r="E895" s="26" t="s">
        <v>703</v>
      </c>
      <c r="F895" s="2" t="s">
        <v>42</v>
      </c>
      <c r="G895" s="2" t="s">
        <v>821</v>
      </c>
      <c r="H895" s="2" t="s">
        <v>683</v>
      </c>
      <c r="I895" s="363">
        <v>4860.540000000001</v>
      </c>
      <c r="J895" s="347">
        <v>44.7482</v>
      </c>
      <c r="K895" s="357">
        <f t="shared" si="40"/>
        <v>108.61978805851412</v>
      </c>
      <c r="L895" s="476">
        <v>60</v>
      </c>
      <c r="M895" s="343">
        <f t="shared" si="41"/>
        <v>81.00900000000001</v>
      </c>
      <c r="N895" s="344">
        <f ca="1" t="shared" si="39"/>
        <v>81</v>
      </c>
      <c r="O895" s="33">
        <v>1741.6935000000003</v>
      </c>
      <c r="P895" s="340" t="s">
        <v>699</v>
      </c>
    </row>
    <row r="896" spans="2:16" ht="39.75" customHeight="1">
      <c r="B896" s="25">
        <v>42144</v>
      </c>
      <c r="C896" s="340" t="s">
        <v>665</v>
      </c>
      <c r="D896" s="2" t="s">
        <v>907</v>
      </c>
      <c r="E896" s="26" t="s">
        <v>703</v>
      </c>
      <c r="F896" s="2" t="s">
        <v>42</v>
      </c>
      <c r="G896" s="2" t="s">
        <v>821</v>
      </c>
      <c r="H896" s="2" t="s">
        <v>683</v>
      </c>
      <c r="I896" s="363">
        <v>4860.540000000001</v>
      </c>
      <c r="J896" s="347">
        <v>44.7482</v>
      </c>
      <c r="K896" s="357">
        <f t="shared" si="40"/>
        <v>108.61978805851412</v>
      </c>
      <c r="L896" s="476">
        <v>60</v>
      </c>
      <c r="M896" s="343">
        <f t="shared" si="41"/>
        <v>81.00900000000001</v>
      </c>
      <c r="N896" s="344">
        <f ca="1" t="shared" si="39"/>
        <v>81</v>
      </c>
      <c r="O896" s="33">
        <v>1741.6935000000003</v>
      </c>
      <c r="P896" s="340" t="s">
        <v>699</v>
      </c>
    </row>
    <row r="897" spans="2:16" ht="39.75" customHeight="1">
      <c r="B897" s="25">
        <v>42144</v>
      </c>
      <c r="C897" s="340" t="s">
        <v>665</v>
      </c>
      <c r="D897" s="2" t="s">
        <v>910</v>
      </c>
      <c r="E897" s="26" t="s">
        <v>698</v>
      </c>
      <c r="F897" s="2" t="s">
        <v>42</v>
      </c>
      <c r="G897" s="2" t="s">
        <v>821</v>
      </c>
      <c r="H897" s="2" t="s">
        <v>683</v>
      </c>
      <c r="I897" s="363">
        <v>10204.52</v>
      </c>
      <c r="J897" s="347">
        <v>44.7482</v>
      </c>
      <c r="K897" s="357">
        <f t="shared" si="40"/>
        <v>228.04313916537427</v>
      </c>
      <c r="L897" s="476">
        <v>60</v>
      </c>
      <c r="M897" s="343">
        <f t="shared" si="41"/>
        <v>170.07533333333333</v>
      </c>
      <c r="N897" s="344">
        <f ca="1" t="shared" si="39"/>
        <v>81</v>
      </c>
      <c r="O897" s="33">
        <v>3656.6196666666674</v>
      </c>
      <c r="P897" s="340" t="s">
        <v>699</v>
      </c>
    </row>
    <row r="898" spans="2:16" ht="39.75" customHeight="1">
      <c r="B898" s="25">
        <v>42144</v>
      </c>
      <c r="C898" s="340" t="s">
        <v>665</v>
      </c>
      <c r="D898" s="2" t="s">
        <v>911</v>
      </c>
      <c r="E898" s="26" t="s">
        <v>705</v>
      </c>
      <c r="F898" s="2" t="s">
        <v>42</v>
      </c>
      <c r="G898" s="2" t="s">
        <v>821</v>
      </c>
      <c r="H898" s="2" t="s">
        <v>683</v>
      </c>
      <c r="I898" s="363">
        <v>10593.45</v>
      </c>
      <c r="J898" s="347">
        <v>44.7482</v>
      </c>
      <c r="K898" s="357">
        <f t="shared" si="40"/>
        <v>236.73466195288304</v>
      </c>
      <c r="L898" s="476">
        <v>60</v>
      </c>
      <c r="M898" s="343">
        <f t="shared" si="41"/>
        <v>176.5575</v>
      </c>
      <c r="N898" s="344">
        <f ca="1" t="shared" si="39"/>
        <v>81</v>
      </c>
      <c r="O898" s="33">
        <v>3795.986250000001</v>
      </c>
      <c r="P898" s="340" t="s">
        <v>699</v>
      </c>
    </row>
    <row r="899" spans="2:16" ht="39.75" customHeight="1">
      <c r="B899" s="25">
        <v>42144</v>
      </c>
      <c r="C899" s="340" t="s">
        <v>664</v>
      </c>
      <c r="D899" s="2" t="s">
        <v>938</v>
      </c>
      <c r="E899" s="26" t="s">
        <v>696</v>
      </c>
      <c r="F899" s="2" t="s">
        <v>697</v>
      </c>
      <c r="G899" s="2" t="s">
        <v>1874</v>
      </c>
      <c r="H899" s="2" t="s">
        <v>684</v>
      </c>
      <c r="I899" s="363">
        <v>2375</v>
      </c>
      <c r="J899" s="347">
        <v>44.7482</v>
      </c>
      <c r="K899" s="357">
        <f t="shared" si="40"/>
        <v>53.07476054902767</v>
      </c>
      <c r="L899" s="476">
        <v>60</v>
      </c>
      <c r="M899" s="343">
        <f t="shared" si="41"/>
        <v>39.583333333333336</v>
      </c>
      <c r="N899" s="344">
        <f ca="1" t="shared" si="39"/>
        <v>81</v>
      </c>
      <c r="O899" s="33">
        <v>851.0416666666665</v>
      </c>
      <c r="P899" s="340" t="s">
        <v>694</v>
      </c>
    </row>
    <row r="900" spans="2:16" ht="39.75" customHeight="1">
      <c r="B900" s="25">
        <v>42144</v>
      </c>
      <c r="C900" s="340" t="s">
        <v>665</v>
      </c>
      <c r="D900" s="2" t="s">
        <v>940</v>
      </c>
      <c r="E900" s="26" t="s">
        <v>703</v>
      </c>
      <c r="F900" s="2" t="s">
        <v>42</v>
      </c>
      <c r="G900" s="2" t="s">
        <v>1874</v>
      </c>
      <c r="H900" s="2" t="s">
        <v>684</v>
      </c>
      <c r="I900" s="363">
        <v>4860.540000000001</v>
      </c>
      <c r="J900" s="347">
        <v>44.7482</v>
      </c>
      <c r="K900" s="357">
        <f t="shared" si="40"/>
        <v>108.61978805851412</v>
      </c>
      <c r="L900" s="476">
        <v>60</v>
      </c>
      <c r="M900" s="343">
        <f t="shared" si="41"/>
        <v>81.00900000000001</v>
      </c>
      <c r="N900" s="344">
        <f ca="1" t="shared" si="39"/>
        <v>81</v>
      </c>
      <c r="O900" s="33">
        <v>1741.6935000000003</v>
      </c>
      <c r="P900" s="340" t="s">
        <v>699</v>
      </c>
    </row>
    <row r="901" spans="2:16" ht="39.75" customHeight="1">
      <c r="B901" s="25">
        <v>42144</v>
      </c>
      <c r="C901" s="340" t="s">
        <v>665</v>
      </c>
      <c r="D901" s="2" t="s">
        <v>941</v>
      </c>
      <c r="E901" s="26" t="s">
        <v>703</v>
      </c>
      <c r="F901" s="2" t="s">
        <v>42</v>
      </c>
      <c r="G901" s="2" t="s">
        <v>1874</v>
      </c>
      <c r="H901" s="2" t="s">
        <v>684</v>
      </c>
      <c r="I901" s="363">
        <v>4860.540000000001</v>
      </c>
      <c r="J901" s="347">
        <v>44.7482</v>
      </c>
      <c r="K901" s="357">
        <f t="shared" si="40"/>
        <v>108.61978805851412</v>
      </c>
      <c r="L901" s="476">
        <v>60</v>
      </c>
      <c r="M901" s="343">
        <f t="shared" si="41"/>
        <v>81.00900000000001</v>
      </c>
      <c r="N901" s="344">
        <f ca="1" t="shared" si="39"/>
        <v>81</v>
      </c>
      <c r="O901" s="33">
        <v>1741.6935000000003</v>
      </c>
      <c r="P901" s="340" t="s">
        <v>699</v>
      </c>
    </row>
    <row r="902" spans="2:16" ht="39.75" customHeight="1">
      <c r="B902" s="25">
        <v>42144</v>
      </c>
      <c r="C902" s="340" t="s">
        <v>665</v>
      </c>
      <c r="D902" s="2" t="s">
        <v>942</v>
      </c>
      <c r="E902" s="26" t="s">
        <v>703</v>
      </c>
      <c r="F902" s="2" t="s">
        <v>42</v>
      </c>
      <c r="G902" s="2" t="s">
        <v>1874</v>
      </c>
      <c r="H902" s="2" t="s">
        <v>684</v>
      </c>
      <c r="I902" s="363">
        <v>4860.540000000001</v>
      </c>
      <c r="J902" s="347">
        <v>44.7482</v>
      </c>
      <c r="K902" s="357">
        <f t="shared" si="40"/>
        <v>108.61978805851412</v>
      </c>
      <c r="L902" s="476">
        <v>60</v>
      </c>
      <c r="M902" s="343">
        <f t="shared" si="41"/>
        <v>81.00900000000001</v>
      </c>
      <c r="N902" s="344">
        <f ca="1" t="shared" si="39"/>
        <v>81</v>
      </c>
      <c r="O902" s="33">
        <v>1741.6935000000003</v>
      </c>
      <c r="P902" s="340" t="s">
        <v>699</v>
      </c>
    </row>
    <row r="903" spans="2:16" ht="39.75" customHeight="1">
      <c r="B903" s="25">
        <v>42144</v>
      </c>
      <c r="C903" s="340" t="s">
        <v>665</v>
      </c>
      <c r="D903" s="2" t="s">
        <v>943</v>
      </c>
      <c r="E903" s="26" t="s">
        <v>703</v>
      </c>
      <c r="F903" s="2" t="s">
        <v>42</v>
      </c>
      <c r="G903" s="2" t="s">
        <v>1874</v>
      </c>
      <c r="H903" s="2" t="s">
        <v>684</v>
      </c>
      <c r="I903" s="363">
        <v>4860.540000000001</v>
      </c>
      <c r="J903" s="347">
        <v>44.7482</v>
      </c>
      <c r="K903" s="357">
        <f t="shared" si="40"/>
        <v>108.61978805851412</v>
      </c>
      <c r="L903" s="476">
        <v>60</v>
      </c>
      <c r="M903" s="343">
        <f t="shared" si="41"/>
        <v>81.00900000000001</v>
      </c>
      <c r="N903" s="344">
        <f ca="1" t="shared" si="39"/>
        <v>81</v>
      </c>
      <c r="O903" s="33">
        <v>1741.6935000000003</v>
      </c>
      <c r="P903" s="340" t="s">
        <v>699</v>
      </c>
    </row>
    <row r="904" spans="2:16" ht="39.75" customHeight="1">
      <c r="B904" s="25">
        <v>42144</v>
      </c>
      <c r="C904" s="340" t="s">
        <v>665</v>
      </c>
      <c r="D904" s="2" t="s">
        <v>944</v>
      </c>
      <c r="E904" s="26" t="s">
        <v>676</v>
      </c>
      <c r="F904" s="2" t="s">
        <v>42</v>
      </c>
      <c r="G904" s="2" t="s">
        <v>1874</v>
      </c>
      <c r="H904" s="2" t="s">
        <v>684</v>
      </c>
      <c r="I904" s="363">
        <v>10499.99</v>
      </c>
      <c r="J904" s="347">
        <v>44.7482</v>
      </c>
      <c r="K904" s="357">
        <f t="shared" si="40"/>
        <v>234.6460863230253</v>
      </c>
      <c r="L904" s="476">
        <v>60</v>
      </c>
      <c r="M904" s="343">
        <f t="shared" si="41"/>
        <v>174.99983333333333</v>
      </c>
      <c r="N904" s="344">
        <f aca="true" ca="1" t="shared" si="42" ref="N904:N967">IF(B904&lt;&gt;0,(ROUND((NOW()-B904)/30,0)),0)</f>
        <v>81</v>
      </c>
      <c r="O904" s="33">
        <v>3762.496416666667</v>
      </c>
      <c r="P904" s="340" t="s">
        <v>699</v>
      </c>
    </row>
    <row r="905" spans="2:16" ht="39.75" customHeight="1">
      <c r="B905" s="25">
        <v>42144</v>
      </c>
      <c r="C905" s="340" t="s">
        <v>665</v>
      </c>
      <c r="D905" s="2" t="s">
        <v>945</v>
      </c>
      <c r="E905" s="26" t="s">
        <v>702</v>
      </c>
      <c r="F905" s="2" t="s">
        <v>42</v>
      </c>
      <c r="G905" s="2" t="s">
        <v>1874</v>
      </c>
      <c r="H905" s="2" t="s">
        <v>684</v>
      </c>
      <c r="I905" s="363">
        <v>5895.63</v>
      </c>
      <c r="J905" s="347">
        <v>44.7482</v>
      </c>
      <c r="K905" s="357">
        <f aca="true" t="shared" si="43" ref="K905:K968">+I905/J905</f>
        <v>131.75122127817434</v>
      </c>
      <c r="L905" s="476">
        <v>60</v>
      </c>
      <c r="M905" s="343">
        <f t="shared" si="41"/>
        <v>98.26050000000001</v>
      </c>
      <c r="N905" s="344">
        <f ca="1" t="shared" si="42"/>
        <v>81</v>
      </c>
      <c r="O905" s="33">
        <v>2112.6007499999996</v>
      </c>
      <c r="P905" s="340" t="s">
        <v>699</v>
      </c>
    </row>
    <row r="906" spans="2:16" ht="39.75" customHeight="1">
      <c r="B906" s="25">
        <v>42144</v>
      </c>
      <c r="C906" s="340" t="s">
        <v>665</v>
      </c>
      <c r="D906" s="2" t="s">
        <v>946</v>
      </c>
      <c r="E906" s="26" t="s">
        <v>700</v>
      </c>
      <c r="F906" s="2" t="s">
        <v>42</v>
      </c>
      <c r="G906" s="2" t="s">
        <v>1874</v>
      </c>
      <c r="H906" s="2" t="s">
        <v>684</v>
      </c>
      <c r="I906" s="363">
        <v>5946.79</v>
      </c>
      <c r="J906" s="347">
        <v>44.7482</v>
      </c>
      <c r="K906" s="357">
        <f t="shared" si="43"/>
        <v>132.8945074885694</v>
      </c>
      <c r="L906" s="476">
        <v>60</v>
      </c>
      <c r="M906" s="343">
        <f t="shared" si="41"/>
        <v>99.11316666666667</v>
      </c>
      <c r="N906" s="344">
        <f ca="1" t="shared" si="42"/>
        <v>81</v>
      </c>
      <c r="O906" s="33">
        <v>2130.933083333333</v>
      </c>
      <c r="P906" s="340" t="s">
        <v>699</v>
      </c>
    </row>
    <row r="907" spans="2:16" ht="39.75" customHeight="1">
      <c r="B907" s="25">
        <v>42144</v>
      </c>
      <c r="C907" s="340" t="s">
        <v>665</v>
      </c>
      <c r="D907" s="2" t="s">
        <v>947</v>
      </c>
      <c r="E907" s="26" t="s">
        <v>698</v>
      </c>
      <c r="F907" s="2" t="s">
        <v>42</v>
      </c>
      <c r="G907" s="2" t="s">
        <v>1874</v>
      </c>
      <c r="H907" s="2" t="s">
        <v>684</v>
      </c>
      <c r="I907" s="363">
        <v>10204.52</v>
      </c>
      <c r="J907" s="347">
        <v>44.7482</v>
      </c>
      <c r="K907" s="357">
        <f t="shared" si="43"/>
        <v>228.04313916537427</v>
      </c>
      <c r="L907" s="476">
        <v>60</v>
      </c>
      <c r="M907" s="343">
        <f aca="true" t="shared" si="44" ref="M907:M970">+I907/L987</f>
        <v>170.07533333333333</v>
      </c>
      <c r="N907" s="344">
        <f ca="1" t="shared" si="42"/>
        <v>81</v>
      </c>
      <c r="O907" s="33">
        <v>3656.6196666666674</v>
      </c>
      <c r="P907" s="340" t="s">
        <v>699</v>
      </c>
    </row>
    <row r="908" spans="2:16" ht="39.75" customHeight="1">
      <c r="B908" s="25">
        <v>42144</v>
      </c>
      <c r="C908" s="340" t="s">
        <v>665</v>
      </c>
      <c r="D908" s="2" t="s">
        <v>948</v>
      </c>
      <c r="E908" s="26" t="s">
        <v>705</v>
      </c>
      <c r="F908" s="2" t="s">
        <v>42</v>
      </c>
      <c r="G908" s="2" t="s">
        <v>1874</v>
      </c>
      <c r="H908" s="2" t="s">
        <v>684</v>
      </c>
      <c r="I908" s="363">
        <v>10593.45</v>
      </c>
      <c r="J908" s="347">
        <v>44.7482</v>
      </c>
      <c r="K908" s="357">
        <f t="shared" si="43"/>
        <v>236.73466195288304</v>
      </c>
      <c r="L908" s="476">
        <v>60</v>
      </c>
      <c r="M908" s="343">
        <f t="shared" si="44"/>
        <v>176.5575</v>
      </c>
      <c r="N908" s="344">
        <f ca="1" t="shared" si="42"/>
        <v>81</v>
      </c>
      <c r="O908" s="33">
        <v>3795.986250000001</v>
      </c>
      <c r="P908" s="340" t="s">
        <v>699</v>
      </c>
    </row>
    <row r="909" spans="2:16" ht="39.75" customHeight="1">
      <c r="B909" s="25">
        <v>42144</v>
      </c>
      <c r="C909" s="340" t="s">
        <v>665</v>
      </c>
      <c r="D909" s="2" t="s">
        <v>949</v>
      </c>
      <c r="E909" s="26" t="s">
        <v>704</v>
      </c>
      <c r="F909" s="2" t="s">
        <v>42</v>
      </c>
      <c r="G909" s="2" t="s">
        <v>1874</v>
      </c>
      <c r="H909" s="2" t="s">
        <v>684</v>
      </c>
      <c r="I909" s="363">
        <v>6332.18</v>
      </c>
      <c r="J909" s="347">
        <v>44.7482</v>
      </c>
      <c r="K909" s="357">
        <f t="shared" si="43"/>
        <v>141.50692094877562</v>
      </c>
      <c r="L909" s="476">
        <v>60</v>
      </c>
      <c r="M909" s="343">
        <f t="shared" si="44"/>
        <v>105.53633333333333</v>
      </c>
      <c r="N909" s="344">
        <f ca="1" t="shared" si="42"/>
        <v>81</v>
      </c>
      <c r="O909" s="33">
        <v>2269.031166666667</v>
      </c>
      <c r="P909" s="340" t="s">
        <v>699</v>
      </c>
    </row>
    <row r="910" spans="2:16" ht="39.75" customHeight="1">
      <c r="B910" s="25">
        <v>42144</v>
      </c>
      <c r="C910" s="340" t="s">
        <v>665</v>
      </c>
      <c r="D910" s="2" t="s">
        <v>950</v>
      </c>
      <c r="E910" s="26" t="s">
        <v>35</v>
      </c>
      <c r="F910" s="2" t="s">
        <v>42</v>
      </c>
      <c r="G910" s="2" t="s">
        <v>1874</v>
      </c>
      <c r="H910" s="2" t="s">
        <v>684</v>
      </c>
      <c r="I910" s="363">
        <v>1223.66</v>
      </c>
      <c r="J910" s="347">
        <v>44.7482</v>
      </c>
      <c r="K910" s="357">
        <f t="shared" si="43"/>
        <v>27.345457470915036</v>
      </c>
      <c r="L910" s="476">
        <v>60</v>
      </c>
      <c r="M910" s="343">
        <f t="shared" si="44"/>
        <v>20.394333333333336</v>
      </c>
      <c r="N910" s="344">
        <f ca="1" t="shared" si="42"/>
        <v>81</v>
      </c>
      <c r="O910" s="33">
        <v>438.47816666666665</v>
      </c>
      <c r="P910" s="340" t="s">
        <v>699</v>
      </c>
    </row>
    <row r="911" spans="2:16" ht="39.75" customHeight="1">
      <c r="B911" s="25">
        <v>42144</v>
      </c>
      <c r="C911" s="340" t="s">
        <v>665</v>
      </c>
      <c r="D911" s="2" t="s">
        <v>951</v>
      </c>
      <c r="E911" s="26" t="s">
        <v>35</v>
      </c>
      <c r="F911" s="2" t="s">
        <v>42</v>
      </c>
      <c r="G911" s="2" t="s">
        <v>1874</v>
      </c>
      <c r="H911" s="2" t="s">
        <v>684</v>
      </c>
      <c r="I911" s="363">
        <v>1223.66</v>
      </c>
      <c r="J911" s="347">
        <v>44.7482</v>
      </c>
      <c r="K911" s="357">
        <f t="shared" si="43"/>
        <v>27.345457470915036</v>
      </c>
      <c r="L911" s="476">
        <v>60</v>
      </c>
      <c r="M911" s="343">
        <f t="shared" si="44"/>
        <v>20.394333333333336</v>
      </c>
      <c r="N911" s="344">
        <f ca="1" t="shared" si="42"/>
        <v>81</v>
      </c>
      <c r="O911" s="33">
        <v>438.47816666666665</v>
      </c>
      <c r="P911" s="340" t="s">
        <v>699</v>
      </c>
    </row>
    <row r="912" spans="2:16" ht="39.75" customHeight="1">
      <c r="B912" s="25">
        <v>42144</v>
      </c>
      <c r="C912" s="340" t="s">
        <v>665</v>
      </c>
      <c r="D912" s="2" t="s">
        <v>952</v>
      </c>
      <c r="E912" s="26" t="s">
        <v>35</v>
      </c>
      <c r="F912" s="2" t="s">
        <v>42</v>
      </c>
      <c r="G912" s="2" t="s">
        <v>1874</v>
      </c>
      <c r="H912" s="2" t="s">
        <v>684</v>
      </c>
      <c r="I912" s="363">
        <v>1223.66</v>
      </c>
      <c r="J912" s="347">
        <v>44.7482</v>
      </c>
      <c r="K912" s="357">
        <f t="shared" si="43"/>
        <v>27.345457470915036</v>
      </c>
      <c r="L912" s="476">
        <v>60</v>
      </c>
      <c r="M912" s="343">
        <f t="shared" si="44"/>
        <v>20.394333333333336</v>
      </c>
      <c r="N912" s="344">
        <f ca="1" t="shared" si="42"/>
        <v>81</v>
      </c>
      <c r="O912" s="33">
        <v>438.47816666666665</v>
      </c>
      <c r="P912" s="340" t="s">
        <v>699</v>
      </c>
    </row>
    <row r="913" spans="2:16" ht="39.75" customHeight="1">
      <c r="B913" s="25">
        <v>42144</v>
      </c>
      <c r="C913" s="340" t="s">
        <v>665</v>
      </c>
      <c r="D913" s="2" t="s">
        <v>953</v>
      </c>
      <c r="E913" s="26" t="s">
        <v>35</v>
      </c>
      <c r="F913" s="2" t="s">
        <v>42</v>
      </c>
      <c r="G913" s="2" t="s">
        <v>1874</v>
      </c>
      <c r="H913" s="2" t="s">
        <v>684</v>
      </c>
      <c r="I913" s="363">
        <v>1223.66</v>
      </c>
      <c r="J913" s="347">
        <v>44.7482</v>
      </c>
      <c r="K913" s="357">
        <f t="shared" si="43"/>
        <v>27.345457470915036</v>
      </c>
      <c r="L913" s="476">
        <v>60</v>
      </c>
      <c r="M913" s="343">
        <f t="shared" si="44"/>
        <v>20.394333333333336</v>
      </c>
      <c r="N913" s="344">
        <f ca="1" t="shared" si="42"/>
        <v>81</v>
      </c>
      <c r="O913" s="33">
        <v>438.47816666666665</v>
      </c>
      <c r="P913" s="340" t="s">
        <v>699</v>
      </c>
    </row>
    <row r="914" spans="2:16" ht="39.75" customHeight="1">
      <c r="B914" s="25">
        <v>42144</v>
      </c>
      <c r="C914" s="340" t="s">
        <v>665</v>
      </c>
      <c r="D914" s="2" t="s">
        <v>954</v>
      </c>
      <c r="E914" s="26" t="s">
        <v>35</v>
      </c>
      <c r="F914" s="2" t="s">
        <v>42</v>
      </c>
      <c r="G914" s="2" t="s">
        <v>1874</v>
      </c>
      <c r="H914" s="2" t="s">
        <v>684</v>
      </c>
      <c r="I914" s="363">
        <v>1223.66</v>
      </c>
      <c r="J914" s="347">
        <v>44.7482</v>
      </c>
      <c r="K914" s="357">
        <f t="shared" si="43"/>
        <v>27.345457470915036</v>
      </c>
      <c r="L914" s="476">
        <v>60</v>
      </c>
      <c r="M914" s="343">
        <f t="shared" si="44"/>
        <v>20.394333333333336</v>
      </c>
      <c r="N914" s="344">
        <f ca="1" t="shared" si="42"/>
        <v>81</v>
      </c>
      <c r="O914" s="33">
        <v>438.47816666666665</v>
      </c>
      <c r="P914" s="340" t="s">
        <v>699</v>
      </c>
    </row>
    <row r="915" spans="2:16" ht="39.75" customHeight="1">
      <c r="B915" s="25">
        <v>42144</v>
      </c>
      <c r="C915" s="340" t="s">
        <v>665</v>
      </c>
      <c r="D915" s="2" t="s">
        <v>955</v>
      </c>
      <c r="E915" s="26" t="s">
        <v>35</v>
      </c>
      <c r="F915" s="2" t="s">
        <v>42</v>
      </c>
      <c r="G915" s="2" t="s">
        <v>1874</v>
      </c>
      <c r="H915" s="2" t="s">
        <v>684</v>
      </c>
      <c r="I915" s="363">
        <v>1223.66</v>
      </c>
      <c r="J915" s="347">
        <v>44.7482</v>
      </c>
      <c r="K915" s="357">
        <f t="shared" si="43"/>
        <v>27.345457470915036</v>
      </c>
      <c r="L915" s="476">
        <v>60</v>
      </c>
      <c r="M915" s="343">
        <f t="shared" si="44"/>
        <v>20.394333333333336</v>
      </c>
      <c r="N915" s="344">
        <f ca="1" t="shared" si="42"/>
        <v>81</v>
      </c>
      <c r="O915" s="33">
        <v>438.47816666666665</v>
      </c>
      <c r="P915" s="340" t="s">
        <v>699</v>
      </c>
    </row>
    <row r="916" spans="2:16" ht="39.75" customHeight="1">
      <c r="B916" s="25">
        <v>42144</v>
      </c>
      <c r="C916" s="340" t="s">
        <v>665</v>
      </c>
      <c r="D916" s="2" t="s">
        <v>956</v>
      </c>
      <c r="E916" s="26" t="s">
        <v>35</v>
      </c>
      <c r="F916" s="2" t="s">
        <v>42</v>
      </c>
      <c r="G916" s="2" t="s">
        <v>1874</v>
      </c>
      <c r="H916" s="2" t="s">
        <v>684</v>
      </c>
      <c r="I916" s="363">
        <v>1223.66</v>
      </c>
      <c r="J916" s="347">
        <v>44.7482</v>
      </c>
      <c r="K916" s="357">
        <f t="shared" si="43"/>
        <v>27.345457470915036</v>
      </c>
      <c r="L916" s="476">
        <v>60</v>
      </c>
      <c r="M916" s="343">
        <f t="shared" si="44"/>
        <v>20.394333333333336</v>
      </c>
      <c r="N916" s="344">
        <f ca="1" t="shared" si="42"/>
        <v>81</v>
      </c>
      <c r="O916" s="33">
        <v>438.47816666666665</v>
      </c>
      <c r="P916" s="340" t="s">
        <v>699</v>
      </c>
    </row>
    <row r="917" spans="2:16" ht="39.75" customHeight="1">
      <c r="B917" s="25">
        <v>42144</v>
      </c>
      <c r="C917" s="340" t="s">
        <v>665</v>
      </c>
      <c r="D917" s="2" t="s">
        <v>957</v>
      </c>
      <c r="E917" s="26" t="s">
        <v>35</v>
      </c>
      <c r="F917" s="2" t="s">
        <v>42</v>
      </c>
      <c r="G917" s="2" t="s">
        <v>1874</v>
      </c>
      <c r="H917" s="2" t="s">
        <v>684</v>
      </c>
      <c r="I917" s="363">
        <v>1223.66</v>
      </c>
      <c r="J917" s="347">
        <v>44.7482</v>
      </c>
      <c r="K917" s="357">
        <f t="shared" si="43"/>
        <v>27.345457470915036</v>
      </c>
      <c r="L917" s="476">
        <v>60</v>
      </c>
      <c r="M917" s="343">
        <f t="shared" si="44"/>
        <v>20.394333333333336</v>
      </c>
      <c r="N917" s="344">
        <f ca="1" t="shared" si="42"/>
        <v>81</v>
      </c>
      <c r="O917" s="33">
        <v>438.47816666666665</v>
      </c>
      <c r="P917" s="340" t="s">
        <v>699</v>
      </c>
    </row>
    <row r="918" spans="2:16" ht="39.75" customHeight="1">
      <c r="B918" s="25">
        <v>42144</v>
      </c>
      <c r="C918" s="340" t="s">
        <v>665</v>
      </c>
      <c r="D918" s="2" t="s">
        <v>958</v>
      </c>
      <c r="E918" s="26" t="s">
        <v>701</v>
      </c>
      <c r="F918" s="2" t="s">
        <v>42</v>
      </c>
      <c r="G918" s="2" t="s">
        <v>1874</v>
      </c>
      <c r="H918" s="2" t="s">
        <v>684</v>
      </c>
      <c r="I918" s="363">
        <v>7174.4</v>
      </c>
      <c r="J918" s="347">
        <v>44.7482</v>
      </c>
      <c r="K918" s="357">
        <f t="shared" si="43"/>
        <v>160.3282366665028</v>
      </c>
      <c r="L918" s="476">
        <v>60</v>
      </c>
      <c r="M918" s="343">
        <f t="shared" si="44"/>
        <v>119.57333333333332</v>
      </c>
      <c r="N918" s="344">
        <f ca="1" t="shared" si="42"/>
        <v>81</v>
      </c>
      <c r="O918" s="33">
        <v>2570.826666666667</v>
      </c>
      <c r="P918" s="340" t="s">
        <v>699</v>
      </c>
    </row>
    <row r="919" spans="2:16" ht="39.75" customHeight="1">
      <c r="B919" s="25">
        <v>42144</v>
      </c>
      <c r="C919" s="340" t="s">
        <v>665</v>
      </c>
      <c r="D919" s="2" t="s">
        <v>959</v>
      </c>
      <c r="E919" s="26" t="s">
        <v>528</v>
      </c>
      <c r="F919" s="2" t="s">
        <v>42</v>
      </c>
      <c r="G919" s="2" t="s">
        <v>1874</v>
      </c>
      <c r="H919" s="2" t="s">
        <v>684</v>
      </c>
      <c r="I919" s="363">
        <v>3209.6</v>
      </c>
      <c r="J919" s="347">
        <v>44.7482</v>
      </c>
      <c r="K919" s="357">
        <f t="shared" si="43"/>
        <v>71.72579008764599</v>
      </c>
      <c r="L919" s="476">
        <v>60</v>
      </c>
      <c r="M919" s="343">
        <f t="shared" si="44"/>
        <v>53.49333333333333</v>
      </c>
      <c r="N919" s="344">
        <f ca="1" t="shared" si="42"/>
        <v>81</v>
      </c>
      <c r="O919" s="33">
        <v>1150.1066666666666</v>
      </c>
      <c r="P919" s="340" t="s">
        <v>699</v>
      </c>
    </row>
    <row r="920" spans="2:16" ht="39.75" customHeight="1">
      <c r="B920" s="25">
        <v>42150</v>
      </c>
      <c r="C920" s="340" t="s">
        <v>668</v>
      </c>
      <c r="D920" s="2" t="s">
        <v>960</v>
      </c>
      <c r="E920" s="26" t="s">
        <v>710</v>
      </c>
      <c r="F920" s="17" t="s">
        <v>712</v>
      </c>
      <c r="G920" s="2" t="s">
        <v>1874</v>
      </c>
      <c r="H920" s="2" t="s">
        <v>684</v>
      </c>
      <c r="I920" s="363">
        <v>1648.46</v>
      </c>
      <c r="J920" s="347">
        <v>44.7554</v>
      </c>
      <c r="K920" s="357">
        <f t="shared" si="43"/>
        <v>36.83265036174406</v>
      </c>
      <c r="L920" s="476">
        <v>60</v>
      </c>
      <c r="M920" s="343">
        <f t="shared" si="44"/>
        <v>27.474333333333334</v>
      </c>
      <c r="N920" s="344">
        <f ca="1" t="shared" si="42"/>
        <v>81</v>
      </c>
      <c r="O920" s="33">
        <v>604.4353333333333</v>
      </c>
      <c r="P920" s="340" t="s">
        <v>711</v>
      </c>
    </row>
    <row r="921" spans="2:16" ht="39.75" customHeight="1">
      <c r="B921" s="25">
        <v>42150</v>
      </c>
      <c r="C921" s="340" t="s">
        <v>668</v>
      </c>
      <c r="D921" s="2" t="s">
        <v>961</v>
      </c>
      <c r="E921" s="26" t="s">
        <v>710</v>
      </c>
      <c r="F921" s="17" t="s">
        <v>713</v>
      </c>
      <c r="G921" s="2" t="s">
        <v>1874</v>
      </c>
      <c r="H921" s="2" t="s">
        <v>684</v>
      </c>
      <c r="I921" s="363">
        <v>1648.46</v>
      </c>
      <c r="J921" s="347">
        <v>44.7554</v>
      </c>
      <c r="K921" s="357">
        <f t="shared" si="43"/>
        <v>36.83265036174406</v>
      </c>
      <c r="L921" s="476">
        <v>60</v>
      </c>
      <c r="M921" s="343">
        <f t="shared" si="44"/>
        <v>27.474333333333334</v>
      </c>
      <c r="N921" s="344">
        <f ca="1" t="shared" si="42"/>
        <v>81</v>
      </c>
      <c r="O921" s="33">
        <v>604.4353333333333</v>
      </c>
      <c r="P921" s="340" t="s">
        <v>711</v>
      </c>
    </row>
    <row r="922" spans="2:16" ht="39.75" customHeight="1">
      <c r="B922" s="25">
        <v>42150</v>
      </c>
      <c r="C922" s="340" t="s">
        <v>667</v>
      </c>
      <c r="D922" s="2" t="s">
        <v>920</v>
      </c>
      <c r="E922" s="26" t="s">
        <v>708</v>
      </c>
      <c r="F922" s="2" t="s">
        <v>709</v>
      </c>
      <c r="G922" s="2" t="s">
        <v>2620</v>
      </c>
      <c r="H922" s="2" t="s">
        <v>437</v>
      </c>
      <c r="I922" s="363">
        <v>3858</v>
      </c>
      <c r="J922" s="347">
        <v>44.7554</v>
      </c>
      <c r="K922" s="357">
        <f t="shared" si="43"/>
        <v>86.20188848719931</v>
      </c>
      <c r="L922" s="476">
        <v>60</v>
      </c>
      <c r="M922" s="343">
        <f t="shared" si="44"/>
        <v>64.3</v>
      </c>
      <c r="N922" s="344">
        <f ca="1" t="shared" si="42"/>
        <v>81</v>
      </c>
      <c r="O922" s="33">
        <v>1414.6</v>
      </c>
      <c r="P922" s="340" t="s">
        <v>680</v>
      </c>
    </row>
    <row r="923" spans="2:16" ht="39.75" customHeight="1">
      <c r="B923" s="25">
        <v>42150</v>
      </c>
      <c r="C923" s="340" t="s">
        <v>666</v>
      </c>
      <c r="D923" s="2" t="s">
        <v>921</v>
      </c>
      <c r="E923" s="26" t="s">
        <v>706</v>
      </c>
      <c r="F923" s="2" t="s">
        <v>707</v>
      </c>
      <c r="G923" s="2" t="s">
        <v>3675</v>
      </c>
      <c r="H923" s="2" t="s">
        <v>437</v>
      </c>
      <c r="I923" s="363">
        <v>4280</v>
      </c>
      <c r="J923" s="347">
        <v>44.7554</v>
      </c>
      <c r="K923" s="357">
        <f t="shared" si="43"/>
        <v>95.63091828025222</v>
      </c>
      <c r="L923" s="476">
        <v>60</v>
      </c>
      <c r="M923" s="343">
        <f t="shared" si="44"/>
        <v>71.33333333333333</v>
      </c>
      <c r="N923" s="344">
        <f ca="1" t="shared" si="42"/>
        <v>81</v>
      </c>
      <c r="O923" s="33">
        <v>1569.3333333333335</v>
      </c>
      <c r="P923" s="340" t="s">
        <v>680</v>
      </c>
    </row>
    <row r="924" spans="1:16" ht="39.75" customHeight="1">
      <c r="A924" s="380"/>
      <c r="B924" s="634">
        <v>42151</v>
      </c>
      <c r="C924" s="627" t="s">
        <v>665</v>
      </c>
      <c r="D924" s="635" t="s">
        <v>931</v>
      </c>
      <c r="E924" s="636" t="s">
        <v>730</v>
      </c>
      <c r="F924" s="635" t="s">
        <v>3891</v>
      </c>
      <c r="G924" s="635" t="s">
        <v>1829</v>
      </c>
      <c r="H924" s="635" t="s">
        <v>437</v>
      </c>
      <c r="I924" s="646">
        <v>1168700</v>
      </c>
      <c r="J924" s="647">
        <v>44.7482</v>
      </c>
      <c r="K924" s="639">
        <f t="shared" si="43"/>
        <v>26117.251643641535</v>
      </c>
      <c r="L924" s="640">
        <v>120</v>
      </c>
      <c r="M924" s="630">
        <f t="shared" si="44"/>
        <v>19478.333333333332</v>
      </c>
      <c r="N924" s="618">
        <f ca="1" t="shared" si="42"/>
        <v>80</v>
      </c>
      <c r="O924" s="644">
        <v>428523.3333333334</v>
      </c>
      <c r="P924" s="627" t="s">
        <v>699</v>
      </c>
    </row>
    <row r="925" spans="1:16" ht="39.75" customHeight="1">
      <c r="A925" s="380"/>
      <c r="B925" s="634">
        <v>42151</v>
      </c>
      <c r="C925" s="627" t="s">
        <v>665</v>
      </c>
      <c r="D925" s="635" t="s">
        <v>925</v>
      </c>
      <c r="E925" s="636" t="s">
        <v>722</v>
      </c>
      <c r="F925" s="635" t="s">
        <v>3886</v>
      </c>
      <c r="G925" s="635" t="s">
        <v>620</v>
      </c>
      <c r="H925" s="635" t="s">
        <v>437</v>
      </c>
      <c r="I925" s="646">
        <v>1296750.5699999998</v>
      </c>
      <c r="J925" s="647">
        <v>44.7482</v>
      </c>
      <c r="K925" s="639">
        <f t="shared" si="43"/>
        <v>28978.831997711637</v>
      </c>
      <c r="L925" s="640">
        <v>120</v>
      </c>
      <c r="M925" s="630">
        <f t="shared" si="44"/>
        <v>21612.509499999996</v>
      </c>
      <c r="N925" s="618">
        <f ca="1" t="shared" si="42"/>
        <v>80</v>
      </c>
      <c r="O925" s="644">
        <v>475475.2089999999</v>
      </c>
      <c r="P925" s="627" t="s">
        <v>699</v>
      </c>
    </row>
    <row r="926" spans="1:16" ht="39.75" customHeight="1">
      <c r="A926" s="380"/>
      <c r="B926" s="634">
        <v>42151</v>
      </c>
      <c r="C926" s="627" t="s">
        <v>665</v>
      </c>
      <c r="D926" s="635" t="s">
        <v>927</v>
      </c>
      <c r="E926" s="636" t="s">
        <v>928</v>
      </c>
      <c r="F926" s="635" t="s">
        <v>3890</v>
      </c>
      <c r="G926" s="635" t="s">
        <v>452</v>
      </c>
      <c r="H926" s="635" t="s">
        <v>437</v>
      </c>
      <c r="I926" s="646">
        <v>1170680</v>
      </c>
      <c r="J926" s="647">
        <v>44.7482</v>
      </c>
      <c r="K926" s="639">
        <f t="shared" si="43"/>
        <v>26161.499233488725</v>
      </c>
      <c r="L926" s="640">
        <v>120</v>
      </c>
      <c r="M926" s="630">
        <f t="shared" si="44"/>
        <v>19511.333333333332</v>
      </c>
      <c r="N926" s="618">
        <f ca="1" t="shared" si="42"/>
        <v>80</v>
      </c>
      <c r="O926" s="644">
        <v>429249.3333333334</v>
      </c>
      <c r="P926" s="627" t="s">
        <v>699</v>
      </c>
    </row>
    <row r="927" spans="2:16" ht="39.75" customHeight="1">
      <c r="B927" s="25">
        <v>42151</v>
      </c>
      <c r="C927" s="340" t="s">
        <v>669</v>
      </c>
      <c r="D927" s="2" t="s">
        <v>922</v>
      </c>
      <c r="E927" s="26" t="s">
        <v>714</v>
      </c>
      <c r="F927" s="2" t="s">
        <v>715</v>
      </c>
      <c r="G927" s="2" t="s">
        <v>821</v>
      </c>
      <c r="H927" s="2" t="s">
        <v>683</v>
      </c>
      <c r="I927" s="363">
        <v>32022.556666666667</v>
      </c>
      <c r="J927" s="347">
        <v>44.7785</v>
      </c>
      <c r="K927" s="357">
        <f t="shared" si="43"/>
        <v>715.1324110157033</v>
      </c>
      <c r="L927" s="482">
        <v>60</v>
      </c>
      <c r="M927" s="343">
        <f t="shared" si="44"/>
        <v>533.7092777777777</v>
      </c>
      <c r="N927" s="344">
        <f ca="1" t="shared" si="42"/>
        <v>80</v>
      </c>
      <c r="O927" s="33">
        <v>11741.604111111112</v>
      </c>
      <c r="P927" s="340" t="s">
        <v>716</v>
      </c>
    </row>
    <row r="928" spans="2:16" ht="39.75" customHeight="1">
      <c r="B928" s="25">
        <v>42151</v>
      </c>
      <c r="C928" s="340" t="s">
        <v>669</v>
      </c>
      <c r="D928" s="2" t="s">
        <v>923</v>
      </c>
      <c r="E928" s="26" t="s">
        <v>714</v>
      </c>
      <c r="F928" s="2" t="s">
        <v>717</v>
      </c>
      <c r="G928" s="2" t="s">
        <v>821</v>
      </c>
      <c r="H928" s="2" t="s">
        <v>683</v>
      </c>
      <c r="I928" s="363">
        <v>32022.556666666667</v>
      </c>
      <c r="J928" s="347">
        <v>44.7785</v>
      </c>
      <c r="K928" s="357">
        <f t="shared" si="43"/>
        <v>715.1324110157033</v>
      </c>
      <c r="L928" s="476">
        <v>60</v>
      </c>
      <c r="M928" s="343">
        <f t="shared" si="44"/>
        <v>533.7092777777777</v>
      </c>
      <c r="N928" s="344">
        <f ca="1" t="shared" si="42"/>
        <v>80</v>
      </c>
      <c r="O928" s="33">
        <v>11741.604111111112</v>
      </c>
      <c r="P928" s="340" t="s">
        <v>716</v>
      </c>
    </row>
    <row r="929" spans="2:16" ht="39.75" customHeight="1">
      <c r="B929" s="25">
        <v>42151</v>
      </c>
      <c r="C929" s="340" t="s">
        <v>669</v>
      </c>
      <c r="D929" s="2" t="s">
        <v>924</v>
      </c>
      <c r="E929" s="26" t="s">
        <v>714</v>
      </c>
      <c r="F929" s="2" t="s">
        <v>718</v>
      </c>
      <c r="G929" s="2" t="s">
        <v>821</v>
      </c>
      <c r="H929" s="2" t="s">
        <v>683</v>
      </c>
      <c r="I929" s="363">
        <v>32022.556666666667</v>
      </c>
      <c r="J929" s="347">
        <v>44.7785</v>
      </c>
      <c r="K929" s="357">
        <f t="shared" si="43"/>
        <v>715.1324110157033</v>
      </c>
      <c r="L929" s="476">
        <v>60</v>
      </c>
      <c r="M929" s="343">
        <f t="shared" si="44"/>
        <v>533.7092777777777</v>
      </c>
      <c r="N929" s="344">
        <f ca="1" t="shared" si="42"/>
        <v>80</v>
      </c>
      <c r="O929" s="33">
        <v>11741.604111111112</v>
      </c>
      <c r="P929" s="340" t="s">
        <v>716</v>
      </c>
    </row>
    <row r="930" spans="2:16" ht="39.75" customHeight="1">
      <c r="B930" s="25">
        <v>42151</v>
      </c>
      <c r="C930" s="340" t="s">
        <v>670</v>
      </c>
      <c r="D930" s="2" t="s">
        <v>929</v>
      </c>
      <c r="E930" s="26" t="s">
        <v>724</v>
      </c>
      <c r="F930" s="2" t="s">
        <v>725</v>
      </c>
      <c r="G930" s="2" t="s">
        <v>821</v>
      </c>
      <c r="H930" s="2" t="s">
        <v>683</v>
      </c>
      <c r="I930" s="363">
        <v>12749.99</v>
      </c>
      <c r="J930" s="347">
        <v>44.7785</v>
      </c>
      <c r="K930" s="357">
        <f t="shared" si="43"/>
        <v>284.73463827506504</v>
      </c>
      <c r="L930" s="476">
        <v>60</v>
      </c>
      <c r="M930" s="343">
        <f t="shared" si="44"/>
        <v>212.49983333333333</v>
      </c>
      <c r="N930" s="344">
        <f ca="1" t="shared" si="42"/>
        <v>80</v>
      </c>
      <c r="O930" s="33">
        <v>4674.9963333333335</v>
      </c>
      <c r="P930" s="340" t="s">
        <v>682</v>
      </c>
    </row>
    <row r="931" spans="2:16" ht="39.75" customHeight="1">
      <c r="B931" s="25">
        <v>42151</v>
      </c>
      <c r="C931" s="340" t="s">
        <v>670</v>
      </c>
      <c r="D931" s="2" t="s">
        <v>930</v>
      </c>
      <c r="E931" s="26" t="s">
        <v>724</v>
      </c>
      <c r="F931" s="2" t="s">
        <v>726</v>
      </c>
      <c r="G931" s="2" t="s">
        <v>821</v>
      </c>
      <c r="H931" s="2" t="s">
        <v>683</v>
      </c>
      <c r="I931" s="363">
        <v>12749.99</v>
      </c>
      <c r="J931" s="347">
        <v>44.7785</v>
      </c>
      <c r="K931" s="357">
        <f t="shared" si="43"/>
        <v>284.73463827506504</v>
      </c>
      <c r="L931" s="476">
        <v>60</v>
      </c>
      <c r="M931" s="343">
        <f t="shared" si="44"/>
        <v>212.49983333333333</v>
      </c>
      <c r="N931" s="344">
        <f ca="1" t="shared" si="42"/>
        <v>80</v>
      </c>
      <c r="O931" s="33">
        <v>4674.9963333333335</v>
      </c>
      <c r="P931" s="340" t="s">
        <v>682</v>
      </c>
    </row>
    <row r="932" spans="2:16" ht="39.75" customHeight="1">
      <c r="B932" s="25">
        <v>42151</v>
      </c>
      <c r="C932" s="340" t="s">
        <v>670</v>
      </c>
      <c r="D932" s="2" t="s">
        <v>967</v>
      </c>
      <c r="E932" s="26" t="s">
        <v>724</v>
      </c>
      <c r="F932" s="2" t="s">
        <v>729</v>
      </c>
      <c r="G932" s="2" t="s">
        <v>3677</v>
      </c>
      <c r="H932" s="2" t="s">
        <v>3012</v>
      </c>
      <c r="I932" s="363">
        <v>12749.99</v>
      </c>
      <c r="J932" s="347">
        <v>44.7785</v>
      </c>
      <c r="K932" s="357">
        <f t="shared" si="43"/>
        <v>284.73463827506504</v>
      </c>
      <c r="L932" s="476">
        <v>60</v>
      </c>
      <c r="M932" s="343">
        <f t="shared" si="44"/>
        <v>212.49983333333333</v>
      </c>
      <c r="N932" s="344">
        <f ca="1" t="shared" si="42"/>
        <v>80</v>
      </c>
      <c r="O932" s="33">
        <v>4674.9963333333335</v>
      </c>
      <c r="P932" s="340" t="s">
        <v>682</v>
      </c>
    </row>
    <row r="933" spans="2:16" ht="39.75" customHeight="1">
      <c r="B933" s="25">
        <v>42151</v>
      </c>
      <c r="C933" s="340" t="s">
        <v>670</v>
      </c>
      <c r="D933" s="2" t="s">
        <v>966</v>
      </c>
      <c r="E933" s="26" t="s">
        <v>724</v>
      </c>
      <c r="F933" s="2" t="s">
        <v>728</v>
      </c>
      <c r="G933" s="362" t="s">
        <v>1856</v>
      </c>
      <c r="H933" s="2" t="s">
        <v>784</v>
      </c>
      <c r="I933" s="363">
        <v>12749.99</v>
      </c>
      <c r="J933" s="347">
        <v>44.7785</v>
      </c>
      <c r="K933" s="357">
        <f t="shared" si="43"/>
        <v>284.73463827506504</v>
      </c>
      <c r="L933" s="476">
        <v>60</v>
      </c>
      <c r="M933" s="343">
        <f t="shared" si="44"/>
        <v>212.49983333333333</v>
      </c>
      <c r="N933" s="344">
        <f ca="1" t="shared" si="42"/>
        <v>80</v>
      </c>
      <c r="O933" s="33">
        <v>4674.9963333333335</v>
      </c>
      <c r="P933" s="340" t="s">
        <v>682</v>
      </c>
    </row>
    <row r="934" spans="2:16" ht="39.75" customHeight="1">
      <c r="B934" s="25">
        <v>42151</v>
      </c>
      <c r="C934" s="340" t="s">
        <v>669</v>
      </c>
      <c r="D934" s="2" t="s">
        <v>962</v>
      </c>
      <c r="E934" s="26" t="s">
        <v>714</v>
      </c>
      <c r="F934" s="2" t="s">
        <v>719</v>
      </c>
      <c r="G934" s="2" t="s">
        <v>1874</v>
      </c>
      <c r="H934" s="2" t="s">
        <v>684</v>
      </c>
      <c r="I934" s="363">
        <v>32022.556666666667</v>
      </c>
      <c r="J934" s="347">
        <v>44.7785</v>
      </c>
      <c r="K934" s="357">
        <f t="shared" si="43"/>
        <v>715.1324110157033</v>
      </c>
      <c r="L934" s="476">
        <v>60</v>
      </c>
      <c r="M934" s="343">
        <f t="shared" si="44"/>
        <v>533.7092777777777</v>
      </c>
      <c r="N934" s="344">
        <f ca="1" t="shared" si="42"/>
        <v>80</v>
      </c>
      <c r="O934" s="33">
        <v>11741.604111111112</v>
      </c>
      <c r="P934" s="340" t="s">
        <v>716</v>
      </c>
    </row>
    <row r="935" spans="2:16" ht="39.75" customHeight="1">
      <c r="B935" s="25">
        <v>42151</v>
      </c>
      <c r="C935" s="340" t="s">
        <v>669</v>
      </c>
      <c r="D935" s="2" t="s">
        <v>963</v>
      </c>
      <c r="E935" s="26" t="s">
        <v>714</v>
      </c>
      <c r="F935" s="2" t="s">
        <v>720</v>
      </c>
      <c r="G935" s="2" t="s">
        <v>1874</v>
      </c>
      <c r="H935" s="2" t="s">
        <v>684</v>
      </c>
      <c r="I935" s="363">
        <v>32022.556666666667</v>
      </c>
      <c r="J935" s="347">
        <v>44.7785</v>
      </c>
      <c r="K935" s="357">
        <f t="shared" si="43"/>
        <v>715.1324110157033</v>
      </c>
      <c r="L935" s="476">
        <v>60</v>
      </c>
      <c r="M935" s="343">
        <f t="shared" si="44"/>
        <v>533.7092777777777</v>
      </c>
      <c r="N935" s="344">
        <f ca="1" t="shared" si="42"/>
        <v>80</v>
      </c>
      <c r="O935" s="33">
        <v>11741.604111111112</v>
      </c>
      <c r="P935" s="340" t="s">
        <v>716</v>
      </c>
    </row>
    <row r="936" spans="2:16" ht="39.75" customHeight="1">
      <c r="B936" s="25">
        <v>42151</v>
      </c>
      <c r="C936" s="340" t="s">
        <v>669</v>
      </c>
      <c r="D936" s="2" t="s">
        <v>964</v>
      </c>
      <c r="E936" s="26" t="s">
        <v>714</v>
      </c>
      <c r="F936" s="2" t="s">
        <v>721</v>
      </c>
      <c r="G936" s="2" t="s">
        <v>1874</v>
      </c>
      <c r="H936" s="2" t="s">
        <v>684</v>
      </c>
      <c r="I936" s="363">
        <v>32022.556666666667</v>
      </c>
      <c r="J936" s="347">
        <v>44.7785</v>
      </c>
      <c r="K936" s="357">
        <f t="shared" si="43"/>
        <v>715.1324110157033</v>
      </c>
      <c r="L936" s="476">
        <v>60</v>
      </c>
      <c r="M936" s="343">
        <f t="shared" si="44"/>
        <v>533.7092777777777</v>
      </c>
      <c r="N936" s="344">
        <f ca="1" t="shared" si="42"/>
        <v>80</v>
      </c>
      <c r="O936" s="33">
        <v>11741.604111111112</v>
      </c>
      <c r="P936" s="340" t="s">
        <v>682</v>
      </c>
    </row>
    <row r="937" spans="2:16" ht="39.75" customHeight="1">
      <c r="B937" s="25">
        <v>42151</v>
      </c>
      <c r="C937" s="340" t="s">
        <v>670</v>
      </c>
      <c r="D937" s="2" t="s">
        <v>965</v>
      </c>
      <c r="E937" s="26" t="s">
        <v>724</v>
      </c>
      <c r="F937" s="2" t="s">
        <v>727</v>
      </c>
      <c r="G937" s="2" t="s">
        <v>1874</v>
      </c>
      <c r="H937" s="2" t="s">
        <v>684</v>
      </c>
      <c r="I937" s="363">
        <v>12749.99</v>
      </c>
      <c r="J937" s="347">
        <v>44.7785</v>
      </c>
      <c r="K937" s="357">
        <f t="shared" si="43"/>
        <v>284.73463827506504</v>
      </c>
      <c r="L937" s="476">
        <v>120</v>
      </c>
      <c r="M937" s="343">
        <f t="shared" si="44"/>
        <v>212.49983333333333</v>
      </c>
      <c r="N937" s="344">
        <f ca="1" t="shared" si="42"/>
        <v>80</v>
      </c>
      <c r="O937" s="33">
        <v>4674.9963333333335</v>
      </c>
      <c r="P937" s="340" t="s">
        <v>682</v>
      </c>
    </row>
    <row r="938" spans="1:16" ht="39.75" customHeight="1">
      <c r="A938" s="380"/>
      <c r="B938" s="634">
        <v>42151</v>
      </c>
      <c r="C938" s="627" t="s">
        <v>3516</v>
      </c>
      <c r="D938" s="635" t="s">
        <v>926</v>
      </c>
      <c r="E938" s="636" t="s">
        <v>722</v>
      </c>
      <c r="F938" s="635" t="s">
        <v>3889</v>
      </c>
      <c r="G938" s="635" t="s">
        <v>1874</v>
      </c>
      <c r="H938" s="635" t="s">
        <v>684</v>
      </c>
      <c r="I938" s="646">
        <v>1296749.7199999997</v>
      </c>
      <c r="J938" s="647">
        <v>44.7785</v>
      </c>
      <c r="K938" s="639">
        <f t="shared" si="43"/>
        <v>28959.204082316282</v>
      </c>
      <c r="L938" s="640">
        <v>120</v>
      </c>
      <c r="M938" s="630">
        <f t="shared" si="44"/>
        <v>21612.49533333333</v>
      </c>
      <c r="N938" s="618">
        <f ca="1" t="shared" si="42"/>
        <v>80</v>
      </c>
      <c r="O938" s="644">
        <v>475474.89733333327</v>
      </c>
      <c r="P938" s="627" t="s">
        <v>723</v>
      </c>
    </row>
    <row r="939" spans="1:16" ht="39.75" customHeight="1">
      <c r="A939" s="380"/>
      <c r="B939" s="634">
        <v>42152</v>
      </c>
      <c r="C939" s="627" t="s">
        <v>3517</v>
      </c>
      <c r="D939" s="635" t="s">
        <v>932</v>
      </c>
      <c r="E939" s="636" t="s">
        <v>722</v>
      </c>
      <c r="F939" s="635" t="s">
        <v>3888</v>
      </c>
      <c r="G939" s="635" t="s">
        <v>1872</v>
      </c>
      <c r="H939" s="635" t="s">
        <v>25</v>
      </c>
      <c r="I939" s="646">
        <v>1296749.71</v>
      </c>
      <c r="J939" s="647">
        <v>44.8075</v>
      </c>
      <c r="K939" s="639">
        <f t="shared" si="43"/>
        <v>28940.461083523965</v>
      </c>
      <c r="L939" s="640">
        <v>120</v>
      </c>
      <c r="M939" s="630">
        <f t="shared" si="44"/>
        <v>21612.495166666668</v>
      </c>
      <c r="N939" s="618">
        <f ca="1" t="shared" si="42"/>
        <v>80</v>
      </c>
      <c r="O939" s="644">
        <v>475474.8936666666</v>
      </c>
      <c r="P939" s="627" t="s">
        <v>723</v>
      </c>
    </row>
    <row r="940" spans="1:16" ht="39.75" customHeight="1">
      <c r="A940" s="380"/>
      <c r="B940" s="634">
        <v>42249</v>
      </c>
      <c r="C940" s="627" t="s">
        <v>734</v>
      </c>
      <c r="D940" s="635" t="s">
        <v>933</v>
      </c>
      <c r="E940" s="636" t="s">
        <v>735</v>
      </c>
      <c r="F940" s="635" t="s">
        <v>3887</v>
      </c>
      <c r="G940" s="635" t="s">
        <v>3678</v>
      </c>
      <c r="H940" s="635" t="s">
        <v>437</v>
      </c>
      <c r="I940" s="648">
        <v>1474500</v>
      </c>
      <c r="J940" s="628">
        <v>45.0047</v>
      </c>
      <c r="K940" s="639">
        <f t="shared" si="43"/>
        <v>32763.24472777288</v>
      </c>
      <c r="L940" s="643">
        <v>120</v>
      </c>
      <c r="M940" s="630">
        <f t="shared" si="44"/>
        <v>24575</v>
      </c>
      <c r="N940" s="618">
        <f ca="1" t="shared" si="42"/>
        <v>77</v>
      </c>
      <c r="O940" s="644">
        <v>577512.5</v>
      </c>
      <c r="P940" s="627" t="s">
        <v>736</v>
      </c>
    </row>
    <row r="941" spans="2:16" ht="39.75" customHeight="1">
      <c r="B941" s="25">
        <v>42347</v>
      </c>
      <c r="C941" s="340" t="s">
        <v>738</v>
      </c>
      <c r="D941" s="2" t="s">
        <v>934</v>
      </c>
      <c r="E941" s="26" t="s">
        <v>739</v>
      </c>
      <c r="F941" s="2" t="s">
        <v>42</v>
      </c>
      <c r="G941" s="2" t="s">
        <v>615</v>
      </c>
      <c r="H941" s="2" t="s">
        <v>437</v>
      </c>
      <c r="I941" s="35">
        <v>25960</v>
      </c>
      <c r="J941" s="353">
        <v>45.4247</v>
      </c>
      <c r="K941" s="357">
        <f t="shared" si="43"/>
        <v>571.495243777064</v>
      </c>
      <c r="L941" s="477">
        <v>60</v>
      </c>
      <c r="M941" s="343">
        <f t="shared" si="44"/>
        <v>432.6666666666667</v>
      </c>
      <c r="N941" s="344">
        <f ca="1" t="shared" si="42"/>
        <v>74</v>
      </c>
      <c r="O941" s="33">
        <v>10816.666666666666</v>
      </c>
      <c r="P941" s="340" t="s">
        <v>740</v>
      </c>
    </row>
    <row r="942" spans="2:16" ht="39.75" customHeight="1">
      <c r="B942" s="25">
        <v>42359</v>
      </c>
      <c r="C942" s="340" t="s">
        <v>742</v>
      </c>
      <c r="D942" s="2" t="s">
        <v>935</v>
      </c>
      <c r="E942" s="26" t="s">
        <v>743</v>
      </c>
      <c r="F942" s="2" t="s">
        <v>42</v>
      </c>
      <c r="G942" s="2" t="s">
        <v>615</v>
      </c>
      <c r="H942" s="2" t="s">
        <v>437</v>
      </c>
      <c r="I942" s="35">
        <v>16192.31</v>
      </c>
      <c r="J942" s="353">
        <v>45.4817</v>
      </c>
      <c r="K942" s="357">
        <f t="shared" si="43"/>
        <v>356.01813476629064</v>
      </c>
      <c r="L942" s="477">
        <v>60</v>
      </c>
      <c r="M942" s="343">
        <f t="shared" si="44"/>
        <v>269.8718333333333</v>
      </c>
      <c r="N942" s="344">
        <f ca="1" t="shared" si="42"/>
        <v>74</v>
      </c>
      <c r="O942" s="33">
        <v>6881.731750000001</v>
      </c>
      <c r="P942" s="340" t="s">
        <v>699</v>
      </c>
    </row>
    <row r="943" spans="2:16" ht="39.75" customHeight="1">
      <c r="B943" s="25">
        <v>42359</v>
      </c>
      <c r="C943" s="340" t="s">
        <v>741</v>
      </c>
      <c r="D943" s="2" t="s">
        <v>936</v>
      </c>
      <c r="E943" s="26" t="s">
        <v>703</v>
      </c>
      <c r="F943" s="2" t="s">
        <v>42</v>
      </c>
      <c r="G943" s="2" t="s">
        <v>452</v>
      </c>
      <c r="H943" s="2" t="s">
        <v>437</v>
      </c>
      <c r="I943" s="35">
        <v>5146.45</v>
      </c>
      <c r="J943" s="353">
        <v>45.4817</v>
      </c>
      <c r="K943" s="357">
        <f t="shared" si="43"/>
        <v>113.1543016202121</v>
      </c>
      <c r="L943" s="477">
        <v>60</v>
      </c>
      <c r="M943" s="343">
        <f t="shared" si="44"/>
        <v>85.77416666666666</v>
      </c>
      <c r="N943" s="344">
        <f ca="1" t="shared" si="42"/>
        <v>74</v>
      </c>
      <c r="O943" s="33">
        <v>2187.24125</v>
      </c>
      <c r="P943" s="340" t="s">
        <v>699</v>
      </c>
    </row>
    <row r="944" spans="2:16" ht="39.75" customHeight="1">
      <c r="B944" s="31">
        <v>42779</v>
      </c>
      <c r="C944" s="340" t="s">
        <v>747</v>
      </c>
      <c r="D944" s="2" t="s">
        <v>865</v>
      </c>
      <c r="E944" s="26" t="s">
        <v>855</v>
      </c>
      <c r="F944" s="2" t="s">
        <v>756</v>
      </c>
      <c r="G944" s="2" t="s">
        <v>1851</v>
      </c>
      <c r="H944" s="2" t="s">
        <v>3708</v>
      </c>
      <c r="I944" s="35">
        <v>25915.25</v>
      </c>
      <c r="J944" s="353">
        <v>47.0436</v>
      </c>
      <c r="K944" s="357">
        <f t="shared" si="43"/>
        <v>550.8772712972647</v>
      </c>
      <c r="L944" s="477">
        <v>60</v>
      </c>
      <c r="M944" s="343">
        <f t="shared" si="44"/>
        <v>431.92083333333335</v>
      </c>
      <c r="N944" s="344">
        <f ca="1" t="shared" si="42"/>
        <v>60</v>
      </c>
      <c r="O944" s="33">
        <v>14037.427083333332</v>
      </c>
      <c r="P944" s="340" t="s">
        <v>746</v>
      </c>
    </row>
    <row r="945" spans="2:16" ht="39.75" customHeight="1">
      <c r="B945" s="31">
        <v>42779</v>
      </c>
      <c r="C945" s="340" t="s">
        <v>747</v>
      </c>
      <c r="D945" s="2" t="s">
        <v>869</v>
      </c>
      <c r="E945" s="26" t="s">
        <v>855</v>
      </c>
      <c r="F945" s="2" t="s">
        <v>749</v>
      </c>
      <c r="G945" s="2" t="s">
        <v>821</v>
      </c>
      <c r="H945" s="2" t="s">
        <v>248</v>
      </c>
      <c r="I945" s="35">
        <v>25915.25</v>
      </c>
      <c r="J945" s="353">
        <v>47.0436</v>
      </c>
      <c r="K945" s="357">
        <f t="shared" si="43"/>
        <v>550.8772712972647</v>
      </c>
      <c r="L945" s="477">
        <v>60</v>
      </c>
      <c r="M945" s="343">
        <f t="shared" si="44"/>
        <v>431.92083333333335</v>
      </c>
      <c r="N945" s="344">
        <f ca="1" t="shared" si="42"/>
        <v>60</v>
      </c>
      <c r="O945" s="33">
        <v>14037.427083333332</v>
      </c>
      <c r="P945" s="340" t="s">
        <v>746</v>
      </c>
    </row>
    <row r="946" spans="2:16" ht="39.75" customHeight="1">
      <c r="B946" s="31">
        <v>42779</v>
      </c>
      <c r="C946" s="340" t="s">
        <v>747</v>
      </c>
      <c r="D946" s="2" t="s">
        <v>861</v>
      </c>
      <c r="E946" s="26" t="s">
        <v>855</v>
      </c>
      <c r="F946" s="2" t="s">
        <v>760</v>
      </c>
      <c r="G946" s="2" t="s">
        <v>1826</v>
      </c>
      <c r="H946" s="2" t="s">
        <v>761</v>
      </c>
      <c r="I946" s="35">
        <v>25915.25</v>
      </c>
      <c r="J946" s="353">
        <v>47.0436</v>
      </c>
      <c r="K946" s="357">
        <f t="shared" si="43"/>
        <v>550.8772712972647</v>
      </c>
      <c r="L946" s="477">
        <v>60</v>
      </c>
      <c r="M946" s="343">
        <f t="shared" si="44"/>
        <v>431.92083333333335</v>
      </c>
      <c r="N946" s="344">
        <f ca="1" t="shared" si="42"/>
        <v>60</v>
      </c>
      <c r="O946" s="33">
        <v>14037.427083333332</v>
      </c>
      <c r="P946" s="340" t="s">
        <v>746</v>
      </c>
    </row>
    <row r="947" spans="2:16" ht="39.75" customHeight="1">
      <c r="B947" s="31">
        <v>42779</v>
      </c>
      <c r="C947" s="340" t="s">
        <v>747</v>
      </c>
      <c r="D947" s="2" t="s">
        <v>859</v>
      </c>
      <c r="E947" s="26" t="s">
        <v>855</v>
      </c>
      <c r="F947" s="2" t="s">
        <v>769</v>
      </c>
      <c r="G947" s="2" t="s">
        <v>826</v>
      </c>
      <c r="H947" s="2" t="s">
        <v>337</v>
      </c>
      <c r="I947" s="35">
        <v>25915.25</v>
      </c>
      <c r="J947" s="353">
        <v>47.0436</v>
      </c>
      <c r="K947" s="357">
        <f t="shared" si="43"/>
        <v>550.8772712972647</v>
      </c>
      <c r="L947" s="477">
        <v>60</v>
      </c>
      <c r="M947" s="343">
        <f t="shared" si="44"/>
        <v>431.92083333333335</v>
      </c>
      <c r="N947" s="344">
        <f ca="1" t="shared" si="42"/>
        <v>60</v>
      </c>
      <c r="O947" s="33">
        <v>14037.427083333332</v>
      </c>
      <c r="P947" s="340" t="s">
        <v>746</v>
      </c>
    </row>
    <row r="948" spans="2:16" ht="39.75" customHeight="1">
      <c r="B948" s="31">
        <v>42779</v>
      </c>
      <c r="C948" s="340" t="s">
        <v>747</v>
      </c>
      <c r="D948" s="2" t="s">
        <v>858</v>
      </c>
      <c r="E948" s="26" t="s">
        <v>855</v>
      </c>
      <c r="F948" s="2" t="s">
        <v>748</v>
      </c>
      <c r="G948" s="2" t="s">
        <v>821</v>
      </c>
      <c r="H948" s="2" t="s">
        <v>337</v>
      </c>
      <c r="I948" s="35">
        <v>25915.25</v>
      </c>
      <c r="J948" s="353">
        <v>47.0436</v>
      </c>
      <c r="K948" s="357">
        <f t="shared" si="43"/>
        <v>550.8772712972647</v>
      </c>
      <c r="L948" s="477">
        <v>60</v>
      </c>
      <c r="M948" s="343">
        <f t="shared" si="44"/>
        <v>431.92083333333335</v>
      </c>
      <c r="N948" s="344">
        <f ca="1" t="shared" si="42"/>
        <v>60</v>
      </c>
      <c r="O948" s="33">
        <v>14037.427083333332</v>
      </c>
      <c r="P948" s="340" t="s">
        <v>746</v>
      </c>
    </row>
    <row r="949" spans="2:16" ht="39.75" customHeight="1">
      <c r="B949" s="31">
        <v>42779</v>
      </c>
      <c r="C949" s="340" t="s">
        <v>747</v>
      </c>
      <c r="D949" s="2" t="s">
        <v>867</v>
      </c>
      <c r="E949" s="26" t="s">
        <v>855</v>
      </c>
      <c r="F949" s="2" t="s">
        <v>768</v>
      </c>
      <c r="G949" s="2" t="s">
        <v>1853</v>
      </c>
      <c r="H949" s="2" t="s">
        <v>386</v>
      </c>
      <c r="I949" s="35">
        <v>25915.25</v>
      </c>
      <c r="J949" s="353">
        <v>47.0436</v>
      </c>
      <c r="K949" s="357">
        <f t="shared" si="43"/>
        <v>550.8772712972647</v>
      </c>
      <c r="L949" s="477">
        <v>60</v>
      </c>
      <c r="M949" s="343">
        <f t="shared" si="44"/>
        <v>431.92083333333335</v>
      </c>
      <c r="N949" s="344">
        <f ca="1" t="shared" si="42"/>
        <v>60</v>
      </c>
      <c r="O949" s="33">
        <v>14037.427083333332</v>
      </c>
      <c r="P949" s="340" t="s">
        <v>746</v>
      </c>
    </row>
    <row r="950" spans="2:16" ht="39.75" customHeight="1">
      <c r="B950" s="31">
        <v>42779</v>
      </c>
      <c r="C950" s="340" t="s">
        <v>747</v>
      </c>
      <c r="D950" s="2" t="s">
        <v>863</v>
      </c>
      <c r="E950" s="26" t="s">
        <v>855</v>
      </c>
      <c r="F950" s="2" t="s">
        <v>766</v>
      </c>
      <c r="G950" s="2" t="s">
        <v>1850</v>
      </c>
      <c r="H950" s="2" t="s">
        <v>767</v>
      </c>
      <c r="I950" s="35">
        <v>25915.25</v>
      </c>
      <c r="J950" s="353">
        <v>47.0436</v>
      </c>
      <c r="K950" s="357">
        <f t="shared" si="43"/>
        <v>550.8772712972647</v>
      </c>
      <c r="L950" s="477">
        <v>60</v>
      </c>
      <c r="M950" s="343">
        <f t="shared" si="44"/>
        <v>431.92083333333335</v>
      </c>
      <c r="N950" s="344">
        <f ca="1" t="shared" si="42"/>
        <v>60</v>
      </c>
      <c r="O950" s="33">
        <v>14037.427083333332</v>
      </c>
      <c r="P950" s="340" t="s">
        <v>746</v>
      </c>
    </row>
    <row r="951" spans="2:16" ht="39.75" customHeight="1">
      <c r="B951" s="31">
        <v>42779</v>
      </c>
      <c r="C951" s="340" t="s">
        <v>747</v>
      </c>
      <c r="D951" s="2" t="s">
        <v>864</v>
      </c>
      <c r="E951" s="26" t="s">
        <v>855</v>
      </c>
      <c r="F951" s="2" t="s">
        <v>750</v>
      </c>
      <c r="G951" s="2" t="s">
        <v>1824</v>
      </c>
      <c r="H951" s="2" t="s">
        <v>537</v>
      </c>
      <c r="I951" s="35">
        <v>25915.25</v>
      </c>
      <c r="J951" s="353">
        <v>47.0436</v>
      </c>
      <c r="K951" s="357">
        <f t="shared" si="43"/>
        <v>550.8772712972647</v>
      </c>
      <c r="L951" s="477">
        <v>60</v>
      </c>
      <c r="M951" s="343">
        <f t="shared" si="44"/>
        <v>431.92083333333335</v>
      </c>
      <c r="N951" s="344">
        <f ca="1" t="shared" si="42"/>
        <v>60</v>
      </c>
      <c r="O951" s="33">
        <v>14037.427083333332</v>
      </c>
      <c r="P951" s="340" t="s">
        <v>746</v>
      </c>
    </row>
    <row r="952" spans="2:16" ht="39.75" customHeight="1">
      <c r="B952" s="31">
        <v>42779</v>
      </c>
      <c r="C952" s="340" t="s">
        <v>747</v>
      </c>
      <c r="D952" s="2" t="s">
        <v>870</v>
      </c>
      <c r="E952" s="26" t="s">
        <v>855</v>
      </c>
      <c r="F952" s="2" t="s">
        <v>754</v>
      </c>
      <c r="G952" s="2" t="s">
        <v>1873</v>
      </c>
      <c r="H952" s="2" t="s">
        <v>755</v>
      </c>
      <c r="I952" s="35">
        <v>25915.25</v>
      </c>
      <c r="J952" s="353">
        <v>47.0436</v>
      </c>
      <c r="K952" s="357">
        <f t="shared" si="43"/>
        <v>550.8772712972647</v>
      </c>
      <c r="L952" s="477">
        <v>60</v>
      </c>
      <c r="M952" s="343">
        <f t="shared" si="44"/>
        <v>431.92083333333335</v>
      </c>
      <c r="N952" s="344">
        <f ca="1" t="shared" si="42"/>
        <v>60</v>
      </c>
      <c r="O952" s="33">
        <v>14037.427083333332</v>
      </c>
      <c r="P952" s="340" t="s">
        <v>746</v>
      </c>
    </row>
    <row r="953" spans="2:16" ht="39.75" customHeight="1">
      <c r="B953" s="31">
        <v>42779</v>
      </c>
      <c r="C953" s="340" t="s">
        <v>747</v>
      </c>
      <c r="D953" s="2" t="s">
        <v>860</v>
      </c>
      <c r="E953" s="26" t="s">
        <v>855</v>
      </c>
      <c r="F953" s="2" t="s">
        <v>764</v>
      </c>
      <c r="G953" s="2" t="s">
        <v>821</v>
      </c>
      <c r="H953" s="2" t="s">
        <v>765</v>
      </c>
      <c r="I953" s="35">
        <v>25915.25</v>
      </c>
      <c r="J953" s="353">
        <v>47.0436</v>
      </c>
      <c r="K953" s="357">
        <f t="shared" si="43"/>
        <v>550.8772712972647</v>
      </c>
      <c r="L953" s="477">
        <v>60</v>
      </c>
      <c r="M953" s="343">
        <f t="shared" si="44"/>
        <v>431.92083333333335</v>
      </c>
      <c r="N953" s="344">
        <f ca="1" t="shared" si="42"/>
        <v>60</v>
      </c>
      <c r="O953" s="33">
        <v>14037.427083333332</v>
      </c>
      <c r="P953" s="340" t="s">
        <v>746</v>
      </c>
    </row>
    <row r="954" spans="2:16" ht="39.75" customHeight="1">
      <c r="B954" s="31">
        <v>42779</v>
      </c>
      <c r="C954" s="340" t="s">
        <v>747</v>
      </c>
      <c r="D954" s="2" t="s">
        <v>862</v>
      </c>
      <c r="E954" s="26" t="s">
        <v>855</v>
      </c>
      <c r="F954" s="2" t="s">
        <v>751</v>
      </c>
      <c r="G954" s="2" t="s">
        <v>821</v>
      </c>
      <c r="H954" s="2" t="s">
        <v>752</v>
      </c>
      <c r="I954" s="35">
        <v>25915.25</v>
      </c>
      <c r="J954" s="353">
        <v>47.0436</v>
      </c>
      <c r="K954" s="357">
        <f t="shared" si="43"/>
        <v>550.8772712972647</v>
      </c>
      <c r="L954" s="477">
        <v>60</v>
      </c>
      <c r="M954" s="343">
        <f t="shared" si="44"/>
        <v>431.92083333333335</v>
      </c>
      <c r="N954" s="344">
        <f ca="1" t="shared" si="42"/>
        <v>60</v>
      </c>
      <c r="O954" s="33">
        <v>14037.427083333332</v>
      </c>
      <c r="P954" s="340" t="s">
        <v>746</v>
      </c>
    </row>
    <row r="955" spans="2:16" ht="39.75" customHeight="1">
      <c r="B955" s="31">
        <v>42779</v>
      </c>
      <c r="C955" s="340" t="s">
        <v>747</v>
      </c>
      <c r="D955" s="2" t="s">
        <v>866</v>
      </c>
      <c r="E955" s="26" t="s">
        <v>855</v>
      </c>
      <c r="F955" s="2" t="s">
        <v>758</v>
      </c>
      <c r="G955" s="2" t="s">
        <v>821</v>
      </c>
      <c r="H955" s="2" t="s">
        <v>309</v>
      </c>
      <c r="I955" s="35">
        <v>25915.25</v>
      </c>
      <c r="J955" s="353">
        <v>47.0436</v>
      </c>
      <c r="K955" s="357">
        <f t="shared" si="43"/>
        <v>550.8772712972647</v>
      </c>
      <c r="L955" s="477">
        <v>60</v>
      </c>
      <c r="M955" s="343">
        <f t="shared" si="44"/>
        <v>431.92083333333335</v>
      </c>
      <c r="N955" s="344">
        <f ca="1" t="shared" si="42"/>
        <v>60</v>
      </c>
      <c r="O955" s="33">
        <v>14037.427083333332</v>
      </c>
      <c r="P955" s="340" t="s">
        <v>746</v>
      </c>
    </row>
    <row r="956" spans="2:16" ht="39.75" customHeight="1">
      <c r="B956" s="31">
        <v>42779</v>
      </c>
      <c r="C956" s="340" t="s">
        <v>747</v>
      </c>
      <c r="D956" s="2" t="s">
        <v>871</v>
      </c>
      <c r="E956" s="26" t="s">
        <v>855</v>
      </c>
      <c r="F956" s="2" t="s">
        <v>763</v>
      </c>
      <c r="G956" s="2" t="s">
        <v>821</v>
      </c>
      <c r="H956" s="2" t="s">
        <v>3679</v>
      </c>
      <c r="I956" s="35">
        <v>25915.25</v>
      </c>
      <c r="J956" s="353">
        <v>47.0436</v>
      </c>
      <c r="K956" s="357">
        <f t="shared" si="43"/>
        <v>550.8772712972647</v>
      </c>
      <c r="L956" s="477">
        <v>60</v>
      </c>
      <c r="M956" s="343">
        <f t="shared" si="44"/>
        <v>431.92083333333335</v>
      </c>
      <c r="N956" s="344">
        <f ca="1" t="shared" si="42"/>
        <v>60</v>
      </c>
      <c r="O956" s="33">
        <v>14037.427083333332</v>
      </c>
      <c r="P956" s="340" t="s">
        <v>746</v>
      </c>
    </row>
    <row r="957" spans="2:16" ht="39.75" customHeight="1">
      <c r="B957" s="31">
        <v>42779</v>
      </c>
      <c r="C957" s="340" t="s">
        <v>747</v>
      </c>
      <c r="D957" s="2" t="s">
        <v>872</v>
      </c>
      <c r="E957" s="26" t="s">
        <v>855</v>
      </c>
      <c r="F957" s="2" t="s">
        <v>759</v>
      </c>
      <c r="G957" s="2" t="s">
        <v>821</v>
      </c>
      <c r="H957" s="2" t="s">
        <v>311</v>
      </c>
      <c r="I957" s="35">
        <v>25915.25</v>
      </c>
      <c r="J957" s="353">
        <v>47.0436</v>
      </c>
      <c r="K957" s="357">
        <f t="shared" si="43"/>
        <v>550.8772712972647</v>
      </c>
      <c r="L957" s="477">
        <v>60</v>
      </c>
      <c r="M957" s="343">
        <f t="shared" si="44"/>
        <v>431.92083333333335</v>
      </c>
      <c r="N957" s="344">
        <f ca="1" t="shared" si="42"/>
        <v>60</v>
      </c>
      <c r="O957" s="33">
        <v>14037.427083333332</v>
      </c>
      <c r="P957" s="340" t="s">
        <v>746</v>
      </c>
    </row>
    <row r="958" spans="2:16" ht="39.75" customHeight="1">
      <c r="B958" s="31">
        <v>42779</v>
      </c>
      <c r="C958" s="340" t="s">
        <v>747</v>
      </c>
      <c r="D958" s="2" t="s">
        <v>868</v>
      </c>
      <c r="E958" s="26" t="s">
        <v>855</v>
      </c>
      <c r="F958" s="2" t="s">
        <v>757</v>
      </c>
      <c r="G958" s="2" t="s">
        <v>1872</v>
      </c>
      <c r="H958" s="2" t="s">
        <v>26</v>
      </c>
      <c r="I958" s="35">
        <v>25915.25</v>
      </c>
      <c r="J958" s="353">
        <v>47.0436</v>
      </c>
      <c r="K958" s="357">
        <f t="shared" si="43"/>
        <v>550.8772712972647</v>
      </c>
      <c r="L958" s="477">
        <v>60</v>
      </c>
      <c r="M958" s="343">
        <f t="shared" si="44"/>
        <v>431.92083333333335</v>
      </c>
      <c r="N958" s="344">
        <f ca="1" t="shared" si="42"/>
        <v>60</v>
      </c>
      <c r="O958" s="33">
        <v>14037.427083333332</v>
      </c>
      <c r="P958" s="340" t="s">
        <v>746</v>
      </c>
    </row>
    <row r="959" spans="2:16" ht="39.75" customHeight="1">
      <c r="B959" s="31">
        <v>42796</v>
      </c>
      <c r="C959" s="340" t="s">
        <v>770</v>
      </c>
      <c r="D959" s="2" t="s">
        <v>882</v>
      </c>
      <c r="E959" s="26" t="s">
        <v>856</v>
      </c>
      <c r="F959" s="2" t="s">
        <v>778</v>
      </c>
      <c r="G959" s="362" t="s">
        <v>1870</v>
      </c>
      <c r="H959" s="2" t="s">
        <v>21</v>
      </c>
      <c r="I959" s="35">
        <v>25915.25</v>
      </c>
      <c r="J959" s="353">
        <v>47.1391</v>
      </c>
      <c r="K959" s="357">
        <f t="shared" si="43"/>
        <v>549.7612385471933</v>
      </c>
      <c r="L959" s="477">
        <v>60</v>
      </c>
      <c r="M959" s="343">
        <f t="shared" si="44"/>
        <v>431.92083333333335</v>
      </c>
      <c r="N959" s="344">
        <f ca="1" t="shared" si="42"/>
        <v>59</v>
      </c>
      <c r="O959" s="33">
        <v>14037.427083333332</v>
      </c>
      <c r="P959" s="340" t="s">
        <v>746</v>
      </c>
    </row>
    <row r="960" spans="2:16" ht="39.75" customHeight="1">
      <c r="B960" s="31">
        <v>42796</v>
      </c>
      <c r="C960" s="340" t="s">
        <v>770</v>
      </c>
      <c r="D960" s="2" t="s">
        <v>879</v>
      </c>
      <c r="E960" s="26" t="s">
        <v>856</v>
      </c>
      <c r="F960" s="2" t="s">
        <v>783</v>
      </c>
      <c r="G960" s="362" t="s">
        <v>1856</v>
      </c>
      <c r="H960" s="2" t="s">
        <v>784</v>
      </c>
      <c r="I960" s="35">
        <v>25915.25</v>
      </c>
      <c r="J960" s="353">
        <v>47.1391</v>
      </c>
      <c r="K960" s="357">
        <f t="shared" si="43"/>
        <v>549.7612385471933</v>
      </c>
      <c r="L960" s="477">
        <v>60</v>
      </c>
      <c r="M960" s="343">
        <f t="shared" si="44"/>
        <v>431.92083333333335</v>
      </c>
      <c r="N960" s="344">
        <f ca="1" t="shared" si="42"/>
        <v>59</v>
      </c>
      <c r="O960" s="33">
        <v>14037.427083333332</v>
      </c>
      <c r="P960" s="340" t="s">
        <v>746</v>
      </c>
    </row>
    <row r="961" spans="2:16" ht="39.75" customHeight="1">
      <c r="B961" s="31">
        <v>42796</v>
      </c>
      <c r="C961" s="340" t="s">
        <v>770</v>
      </c>
      <c r="D961" s="2" t="s">
        <v>875</v>
      </c>
      <c r="E961" s="26" t="s">
        <v>856</v>
      </c>
      <c r="F961" s="2" t="s">
        <v>777</v>
      </c>
      <c r="G961" s="362" t="s">
        <v>1850</v>
      </c>
      <c r="H961" s="2" t="s">
        <v>137</v>
      </c>
      <c r="I961" s="35">
        <v>25915.25</v>
      </c>
      <c r="J961" s="353">
        <v>47.1391</v>
      </c>
      <c r="K961" s="357">
        <f t="shared" si="43"/>
        <v>549.7612385471933</v>
      </c>
      <c r="L961" s="477">
        <v>60</v>
      </c>
      <c r="M961" s="343">
        <f t="shared" si="44"/>
        <v>431.92083333333335</v>
      </c>
      <c r="N961" s="344">
        <f ca="1" t="shared" si="42"/>
        <v>59</v>
      </c>
      <c r="O961" s="33">
        <v>14037.427083333332</v>
      </c>
      <c r="P961" s="340" t="s">
        <v>746</v>
      </c>
    </row>
    <row r="962" spans="2:16" ht="39.75" customHeight="1">
      <c r="B962" s="31">
        <v>42796</v>
      </c>
      <c r="C962" s="340" t="s">
        <v>770</v>
      </c>
      <c r="D962" s="2" t="s">
        <v>876</v>
      </c>
      <c r="E962" s="26" t="s">
        <v>856</v>
      </c>
      <c r="F962" s="2" t="s">
        <v>779</v>
      </c>
      <c r="G962" s="362" t="s">
        <v>3680</v>
      </c>
      <c r="H962" s="2" t="s">
        <v>780</v>
      </c>
      <c r="I962" s="35">
        <v>25915.25</v>
      </c>
      <c r="J962" s="353">
        <v>47.1391</v>
      </c>
      <c r="K962" s="357">
        <f t="shared" si="43"/>
        <v>549.7612385471933</v>
      </c>
      <c r="L962" s="477">
        <v>60</v>
      </c>
      <c r="M962" s="343">
        <f t="shared" si="44"/>
        <v>431.92083333333335</v>
      </c>
      <c r="N962" s="344">
        <f ca="1" t="shared" si="42"/>
        <v>59</v>
      </c>
      <c r="O962" s="33">
        <v>14037.427083333332</v>
      </c>
      <c r="P962" s="340" t="s">
        <v>746</v>
      </c>
    </row>
    <row r="963" spans="2:16" ht="39.75" customHeight="1">
      <c r="B963" s="31">
        <v>42796</v>
      </c>
      <c r="C963" s="340" t="s">
        <v>770</v>
      </c>
      <c r="D963" s="2" t="s">
        <v>881</v>
      </c>
      <c r="E963" s="26" t="s">
        <v>856</v>
      </c>
      <c r="F963" s="2" t="s">
        <v>781</v>
      </c>
      <c r="G963" s="362" t="s">
        <v>1868</v>
      </c>
      <c r="H963" s="2" t="s">
        <v>782</v>
      </c>
      <c r="I963" s="35">
        <v>25915.25</v>
      </c>
      <c r="J963" s="353">
        <v>47.1391</v>
      </c>
      <c r="K963" s="357">
        <f t="shared" si="43"/>
        <v>549.7612385471933</v>
      </c>
      <c r="L963" s="477">
        <v>60</v>
      </c>
      <c r="M963" s="343">
        <f t="shared" si="44"/>
        <v>431.92083333333335</v>
      </c>
      <c r="N963" s="344">
        <f ca="1" t="shared" si="42"/>
        <v>59</v>
      </c>
      <c r="O963" s="33">
        <v>14037.427083333332</v>
      </c>
      <c r="P963" s="340" t="s">
        <v>746</v>
      </c>
    </row>
    <row r="964" spans="2:16" ht="39.75" customHeight="1">
      <c r="B964" s="31">
        <v>42796</v>
      </c>
      <c r="C964" s="340" t="s">
        <v>770</v>
      </c>
      <c r="D964" s="2" t="s">
        <v>880</v>
      </c>
      <c r="E964" s="26" t="s">
        <v>856</v>
      </c>
      <c r="F964" s="2" t="s">
        <v>785</v>
      </c>
      <c r="G964" s="2" t="s">
        <v>1867</v>
      </c>
      <c r="H964" s="2" t="s">
        <v>138</v>
      </c>
      <c r="I964" s="35">
        <v>25915.25</v>
      </c>
      <c r="J964" s="353">
        <v>47.1391</v>
      </c>
      <c r="K964" s="357">
        <f t="shared" si="43"/>
        <v>549.7612385471933</v>
      </c>
      <c r="L964" s="477">
        <v>60</v>
      </c>
      <c r="M964" s="343">
        <f t="shared" si="44"/>
        <v>431.92083333333335</v>
      </c>
      <c r="N964" s="344">
        <f ca="1" t="shared" si="42"/>
        <v>59</v>
      </c>
      <c r="O964" s="33">
        <v>14037.427083333332</v>
      </c>
      <c r="P964" s="340" t="s">
        <v>746</v>
      </c>
    </row>
    <row r="965" spans="2:16" ht="39.75" customHeight="1">
      <c r="B965" s="31">
        <v>42796</v>
      </c>
      <c r="C965" s="340" t="s">
        <v>770</v>
      </c>
      <c r="D965" s="2" t="s">
        <v>883</v>
      </c>
      <c r="E965" s="26" t="s">
        <v>856</v>
      </c>
      <c r="F965" s="2" t="s">
        <v>771</v>
      </c>
      <c r="G965" s="362" t="s">
        <v>1875</v>
      </c>
      <c r="H965" s="2" t="s">
        <v>772</v>
      </c>
      <c r="I965" s="35">
        <v>25915.25</v>
      </c>
      <c r="J965" s="353">
        <v>47.1391</v>
      </c>
      <c r="K965" s="357">
        <f t="shared" si="43"/>
        <v>549.7612385471933</v>
      </c>
      <c r="L965" s="477">
        <v>60</v>
      </c>
      <c r="M965" s="343">
        <f t="shared" si="44"/>
        <v>431.92083333333335</v>
      </c>
      <c r="N965" s="344">
        <f ca="1" t="shared" si="42"/>
        <v>59</v>
      </c>
      <c r="O965" s="33">
        <v>14037.427083333332</v>
      </c>
      <c r="P965" s="340" t="s">
        <v>746</v>
      </c>
    </row>
    <row r="966" spans="2:16" ht="39.75" customHeight="1">
      <c r="B966" s="31">
        <v>42796</v>
      </c>
      <c r="C966" s="340" t="s">
        <v>770</v>
      </c>
      <c r="D966" s="2" t="s">
        <v>878</v>
      </c>
      <c r="E966" s="26" t="s">
        <v>856</v>
      </c>
      <c r="F966" s="2" t="s">
        <v>775</v>
      </c>
      <c r="G966" s="2" t="s">
        <v>1849</v>
      </c>
      <c r="H966" s="2" t="s">
        <v>776</v>
      </c>
      <c r="I966" s="35">
        <v>25915.25</v>
      </c>
      <c r="J966" s="353">
        <v>47.1391</v>
      </c>
      <c r="K966" s="357">
        <f t="shared" si="43"/>
        <v>549.7612385471933</v>
      </c>
      <c r="L966" s="477">
        <v>60</v>
      </c>
      <c r="M966" s="343">
        <f t="shared" si="44"/>
        <v>431.92083333333335</v>
      </c>
      <c r="N966" s="344">
        <f ca="1" t="shared" si="42"/>
        <v>59</v>
      </c>
      <c r="O966" s="33">
        <v>14037.427083333332</v>
      </c>
      <c r="P966" s="340" t="s">
        <v>746</v>
      </c>
    </row>
    <row r="967" spans="2:16" ht="39.75" customHeight="1">
      <c r="B967" s="31">
        <v>42796</v>
      </c>
      <c r="C967" s="340" t="s">
        <v>770</v>
      </c>
      <c r="D967" s="2" t="s">
        <v>874</v>
      </c>
      <c r="E967" s="26" t="s">
        <v>856</v>
      </c>
      <c r="F967" s="2" t="s">
        <v>873</v>
      </c>
      <c r="G967" s="2" t="s">
        <v>821</v>
      </c>
      <c r="H967" s="2" t="s">
        <v>380</v>
      </c>
      <c r="I967" s="35">
        <v>25915.25</v>
      </c>
      <c r="J967" s="353">
        <v>47.1391</v>
      </c>
      <c r="K967" s="357">
        <f t="shared" si="43"/>
        <v>549.7612385471933</v>
      </c>
      <c r="L967" s="477">
        <v>60</v>
      </c>
      <c r="M967" s="343">
        <f t="shared" si="44"/>
        <v>431.92083333333335</v>
      </c>
      <c r="N967" s="344">
        <f ca="1" t="shared" si="42"/>
        <v>59</v>
      </c>
      <c r="O967" s="33">
        <v>14037.427083333332</v>
      </c>
      <c r="P967" s="340" t="s">
        <v>746</v>
      </c>
    </row>
    <row r="968" spans="2:16" ht="39.75" customHeight="1">
      <c r="B968" s="31">
        <v>42796</v>
      </c>
      <c r="C968" s="340" t="s">
        <v>770</v>
      </c>
      <c r="D968" s="2" t="s">
        <v>877</v>
      </c>
      <c r="E968" s="26" t="s">
        <v>856</v>
      </c>
      <c r="F968" s="2" t="s">
        <v>773</v>
      </c>
      <c r="G968" s="2" t="s">
        <v>821</v>
      </c>
      <c r="H968" s="2" t="s">
        <v>774</v>
      </c>
      <c r="I968" s="35">
        <v>25915.25</v>
      </c>
      <c r="J968" s="353">
        <v>47.1391</v>
      </c>
      <c r="K968" s="357">
        <f t="shared" si="43"/>
        <v>549.7612385471933</v>
      </c>
      <c r="L968" s="477">
        <v>60</v>
      </c>
      <c r="M968" s="343">
        <f t="shared" si="44"/>
        <v>431.92083333333335</v>
      </c>
      <c r="N968" s="344">
        <f aca="true" ca="1" t="shared" si="45" ref="N968:N1031">IF(B968&lt;&gt;0,(ROUND((NOW()-B968)/30,0)),0)</f>
        <v>59</v>
      </c>
      <c r="O968" s="33">
        <v>14037.427083333332</v>
      </c>
      <c r="P968" s="340" t="s">
        <v>746</v>
      </c>
    </row>
    <row r="969" spans="2:16" ht="39.75" customHeight="1">
      <c r="B969" s="31">
        <v>42998</v>
      </c>
      <c r="C969" s="340" t="s">
        <v>786</v>
      </c>
      <c r="D969" s="2" t="s">
        <v>887</v>
      </c>
      <c r="E969" s="26" t="s">
        <v>798</v>
      </c>
      <c r="F969" s="2" t="s">
        <v>3465</v>
      </c>
      <c r="G969" s="2" t="s">
        <v>2636</v>
      </c>
      <c r="H969" s="2" t="s">
        <v>437</v>
      </c>
      <c r="I969" s="35">
        <v>113697.72</v>
      </c>
      <c r="J969" s="353">
        <v>47.6516</v>
      </c>
      <c r="K969" s="357">
        <f aca="true" t="shared" si="46" ref="K969:K1032">+I969/J969</f>
        <v>2386.0210360197766</v>
      </c>
      <c r="L969" s="477">
        <v>60</v>
      </c>
      <c r="M969" s="343">
        <f t="shared" si="44"/>
        <v>1894.962</v>
      </c>
      <c r="N969" s="344">
        <f ca="1" t="shared" si="45"/>
        <v>52</v>
      </c>
      <c r="O969" s="33">
        <v>68218.632</v>
      </c>
      <c r="P969" s="340" t="s">
        <v>746</v>
      </c>
    </row>
    <row r="970" spans="2:16" ht="39.75" customHeight="1">
      <c r="B970" s="31">
        <v>42998</v>
      </c>
      <c r="C970" s="340" t="s">
        <v>786</v>
      </c>
      <c r="D970" s="2" t="s">
        <v>886</v>
      </c>
      <c r="E970" s="26" t="s">
        <v>857</v>
      </c>
      <c r="F970" s="2" t="s">
        <v>789</v>
      </c>
      <c r="G970" s="2" t="s">
        <v>3681</v>
      </c>
      <c r="H970" s="2" t="s">
        <v>437</v>
      </c>
      <c r="I970" s="35">
        <v>54597.42</v>
      </c>
      <c r="J970" s="353">
        <v>47.6516</v>
      </c>
      <c r="K970" s="357">
        <f t="shared" si="46"/>
        <v>1145.762576702566</v>
      </c>
      <c r="L970" s="477">
        <v>60</v>
      </c>
      <c r="M970" s="343">
        <f t="shared" si="44"/>
        <v>909.957</v>
      </c>
      <c r="N970" s="344">
        <f ca="1" t="shared" si="45"/>
        <v>52</v>
      </c>
      <c r="O970" s="33">
        <v>32758.451999999997</v>
      </c>
      <c r="P970" s="340" t="s">
        <v>746</v>
      </c>
    </row>
    <row r="971" spans="2:16" ht="39.75" customHeight="1">
      <c r="B971" s="31">
        <v>42998</v>
      </c>
      <c r="C971" s="340" t="s">
        <v>786</v>
      </c>
      <c r="D971" s="2" t="s">
        <v>885</v>
      </c>
      <c r="E971" s="26" t="s">
        <v>857</v>
      </c>
      <c r="F971" s="2" t="s">
        <v>3461</v>
      </c>
      <c r="G971" s="2" t="s">
        <v>3682</v>
      </c>
      <c r="H971" s="2" t="s">
        <v>437</v>
      </c>
      <c r="I971" s="35">
        <v>54597.42</v>
      </c>
      <c r="J971" s="353">
        <v>47.6516</v>
      </c>
      <c r="K971" s="357">
        <f t="shared" si="46"/>
        <v>1145.762576702566</v>
      </c>
      <c r="L971" s="477">
        <v>60</v>
      </c>
      <c r="M971" s="343">
        <f aca="true" t="shared" si="47" ref="M971:M1024">+I971/L1051</f>
        <v>909.957</v>
      </c>
      <c r="N971" s="344">
        <f ca="1" t="shared" si="45"/>
        <v>52</v>
      </c>
      <c r="O971" s="33">
        <v>32758.451999999997</v>
      </c>
      <c r="P971" s="340" t="s">
        <v>746</v>
      </c>
    </row>
    <row r="972" spans="2:16" ht="39.75" customHeight="1">
      <c r="B972" s="31">
        <v>42998</v>
      </c>
      <c r="C972" s="340" t="s">
        <v>786</v>
      </c>
      <c r="D972" s="2" t="s">
        <v>884</v>
      </c>
      <c r="E972" s="26" t="s">
        <v>857</v>
      </c>
      <c r="F972" s="2" t="s">
        <v>788</v>
      </c>
      <c r="G972" s="2" t="s">
        <v>3683</v>
      </c>
      <c r="H972" s="2" t="s">
        <v>437</v>
      </c>
      <c r="I972" s="35">
        <v>54597.42</v>
      </c>
      <c r="J972" s="353">
        <v>47.6516</v>
      </c>
      <c r="K972" s="357">
        <f t="shared" si="46"/>
        <v>1145.762576702566</v>
      </c>
      <c r="L972" s="477">
        <v>60</v>
      </c>
      <c r="M972" s="343">
        <f t="shared" si="47"/>
        <v>909.957</v>
      </c>
      <c r="N972" s="344">
        <f ca="1" t="shared" si="45"/>
        <v>52</v>
      </c>
      <c r="O972" s="33">
        <v>32758.451999999997</v>
      </c>
      <c r="P972" s="340" t="s">
        <v>746</v>
      </c>
    </row>
    <row r="973" spans="2:16" ht="39.75" customHeight="1">
      <c r="B973" s="31">
        <v>43020</v>
      </c>
      <c r="C973" s="340" t="s">
        <v>790</v>
      </c>
      <c r="D973" s="2" t="s">
        <v>890</v>
      </c>
      <c r="E973" s="26" t="s">
        <v>857</v>
      </c>
      <c r="F973" s="2" t="s">
        <v>793</v>
      </c>
      <c r="G973" s="2" t="s">
        <v>3417</v>
      </c>
      <c r="H973" s="2" t="s">
        <v>437</v>
      </c>
      <c r="I973" s="35">
        <v>54597.42</v>
      </c>
      <c r="J973" s="353">
        <v>47.6516</v>
      </c>
      <c r="K973" s="357">
        <f t="shared" si="46"/>
        <v>1145.762576702566</v>
      </c>
      <c r="L973" s="477">
        <v>60</v>
      </c>
      <c r="M973" s="343">
        <f t="shared" si="47"/>
        <v>909.957</v>
      </c>
      <c r="N973" s="344">
        <f ca="1" t="shared" si="45"/>
        <v>52</v>
      </c>
      <c r="O973" s="33">
        <v>33213.4305</v>
      </c>
      <c r="P973" s="340" t="s">
        <v>787</v>
      </c>
    </row>
    <row r="974" spans="2:16" ht="39.75" customHeight="1">
      <c r="B974" s="31">
        <v>43020</v>
      </c>
      <c r="C974" s="340" t="s">
        <v>790</v>
      </c>
      <c r="D974" s="2" t="s">
        <v>889</v>
      </c>
      <c r="E974" s="26" t="s">
        <v>857</v>
      </c>
      <c r="F974" s="2" t="s">
        <v>792</v>
      </c>
      <c r="G974" s="2" t="s">
        <v>3414</v>
      </c>
      <c r="H974" s="2" t="s">
        <v>437</v>
      </c>
      <c r="I974" s="35">
        <v>54597.42</v>
      </c>
      <c r="J974" s="353">
        <v>47.6516</v>
      </c>
      <c r="K974" s="357">
        <f t="shared" si="46"/>
        <v>1145.762576702566</v>
      </c>
      <c r="L974" s="477">
        <v>60</v>
      </c>
      <c r="M974" s="343">
        <f t="shared" si="47"/>
        <v>909.957</v>
      </c>
      <c r="N974" s="344">
        <f ca="1" t="shared" si="45"/>
        <v>52</v>
      </c>
      <c r="O974" s="33">
        <v>33213.4305</v>
      </c>
      <c r="P974" s="340" t="s">
        <v>787</v>
      </c>
    </row>
    <row r="975" spans="2:16" ht="39.75" customHeight="1">
      <c r="B975" s="31">
        <v>43020</v>
      </c>
      <c r="C975" s="340" t="s">
        <v>790</v>
      </c>
      <c r="D975" s="2" t="s">
        <v>891</v>
      </c>
      <c r="E975" s="26" t="s">
        <v>857</v>
      </c>
      <c r="F975" s="2" t="s">
        <v>794</v>
      </c>
      <c r="G975" s="2" t="s">
        <v>3416</v>
      </c>
      <c r="H975" s="2" t="s">
        <v>437</v>
      </c>
      <c r="I975" s="35">
        <v>54597.42</v>
      </c>
      <c r="J975" s="353">
        <v>47.6516</v>
      </c>
      <c r="K975" s="357">
        <f t="shared" si="46"/>
        <v>1145.762576702566</v>
      </c>
      <c r="L975" s="477">
        <v>60</v>
      </c>
      <c r="M975" s="343">
        <f t="shared" si="47"/>
        <v>909.957</v>
      </c>
      <c r="N975" s="344">
        <f ca="1" t="shared" si="45"/>
        <v>52</v>
      </c>
      <c r="O975" s="33">
        <v>33213.4305</v>
      </c>
      <c r="P975" s="340" t="s">
        <v>787</v>
      </c>
    </row>
    <row r="976" spans="2:16" ht="39.75" customHeight="1">
      <c r="B976" s="31">
        <v>43020</v>
      </c>
      <c r="C976" s="340" t="s">
        <v>790</v>
      </c>
      <c r="D976" s="2" t="s">
        <v>892</v>
      </c>
      <c r="E976" s="26" t="s">
        <v>857</v>
      </c>
      <c r="F976" s="2" t="s">
        <v>795</v>
      </c>
      <c r="G976" s="2" t="s">
        <v>3415</v>
      </c>
      <c r="H976" s="2" t="s">
        <v>437</v>
      </c>
      <c r="I976" s="35">
        <v>54597.42</v>
      </c>
      <c r="J976" s="353">
        <v>47.6516</v>
      </c>
      <c r="K976" s="357">
        <f t="shared" si="46"/>
        <v>1145.762576702566</v>
      </c>
      <c r="L976" s="477">
        <v>60</v>
      </c>
      <c r="M976" s="343">
        <f t="shared" si="47"/>
        <v>909.957</v>
      </c>
      <c r="N976" s="344">
        <f ca="1" t="shared" si="45"/>
        <v>52</v>
      </c>
      <c r="O976" s="33">
        <v>33213.4305</v>
      </c>
      <c r="P976" s="340" t="s">
        <v>787</v>
      </c>
    </row>
    <row r="977" spans="2:16" ht="39.75" customHeight="1">
      <c r="B977" s="31">
        <v>43020</v>
      </c>
      <c r="C977" s="340" t="s">
        <v>790</v>
      </c>
      <c r="D977" s="2" t="s">
        <v>888</v>
      </c>
      <c r="E977" s="26" t="s">
        <v>857</v>
      </c>
      <c r="F977" s="2" t="s">
        <v>791</v>
      </c>
      <c r="G977" s="2" t="s">
        <v>3684</v>
      </c>
      <c r="H977" s="2" t="s">
        <v>437</v>
      </c>
      <c r="I977" s="35">
        <v>54597.42</v>
      </c>
      <c r="J977" s="353">
        <v>47.6516</v>
      </c>
      <c r="K977" s="357">
        <f t="shared" si="46"/>
        <v>1145.762576702566</v>
      </c>
      <c r="L977" s="477">
        <v>60</v>
      </c>
      <c r="M977" s="343">
        <f t="shared" si="47"/>
        <v>909.957</v>
      </c>
      <c r="N977" s="344">
        <f ca="1" t="shared" si="45"/>
        <v>52</v>
      </c>
      <c r="O977" s="33">
        <v>33213.4305</v>
      </c>
      <c r="P977" s="340" t="s">
        <v>787</v>
      </c>
    </row>
    <row r="978" spans="2:16" ht="46.5" customHeight="1">
      <c r="B978" s="370">
        <v>43446</v>
      </c>
      <c r="C978" s="345" t="s">
        <v>820</v>
      </c>
      <c r="D978" s="361" t="s">
        <v>1876</v>
      </c>
      <c r="E978" s="360" t="s">
        <v>2660</v>
      </c>
      <c r="F978" s="361">
        <v>18070316</v>
      </c>
      <c r="G978" s="361" t="s">
        <v>826</v>
      </c>
      <c r="H978" s="361" t="s">
        <v>827</v>
      </c>
      <c r="I978" s="35">
        <v>192256</v>
      </c>
      <c r="J978" s="353">
        <v>50.1303</v>
      </c>
      <c r="K978" s="357">
        <f t="shared" si="46"/>
        <v>3835.125662523464</v>
      </c>
      <c r="L978" s="477">
        <v>60</v>
      </c>
      <c r="M978" s="343">
        <f t="shared" si="47"/>
        <v>3204.266666666667</v>
      </c>
      <c r="N978" s="344">
        <f ca="1" t="shared" si="45"/>
        <v>37</v>
      </c>
      <c r="O978" s="33">
        <v>139385.6</v>
      </c>
      <c r="P978" s="345" t="s">
        <v>823</v>
      </c>
    </row>
    <row r="979" spans="2:16" ht="46.5" customHeight="1">
      <c r="B979" s="370">
        <v>43446</v>
      </c>
      <c r="C979" s="345" t="s">
        <v>820</v>
      </c>
      <c r="D979" s="361" t="s">
        <v>1877</v>
      </c>
      <c r="E979" s="360" t="s">
        <v>2661</v>
      </c>
      <c r="F979" s="361">
        <v>501805509</v>
      </c>
      <c r="G979" s="361" t="s">
        <v>826</v>
      </c>
      <c r="H979" s="361" t="s">
        <v>827</v>
      </c>
      <c r="I979" s="35">
        <v>220800</v>
      </c>
      <c r="J979" s="353">
        <v>50.1303</v>
      </c>
      <c r="K979" s="357">
        <f t="shared" si="46"/>
        <v>4404.521816147121</v>
      </c>
      <c r="L979" s="477">
        <v>60</v>
      </c>
      <c r="M979" s="343">
        <f t="shared" si="47"/>
        <v>3680</v>
      </c>
      <c r="N979" s="344">
        <f ca="1" t="shared" si="45"/>
        <v>37</v>
      </c>
      <c r="O979" s="33">
        <v>160080</v>
      </c>
      <c r="P979" s="345" t="s">
        <v>823</v>
      </c>
    </row>
    <row r="980" spans="2:16" ht="46.5" customHeight="1">
      <c r="B980" s="370">
        <v>43446</v>
      </c>
      <c r="C980" s="345" t="s">
        <v>820</v>
      </c>
      <c r="D980" s="361" t="s">
        <v>1880</v>
      </c>
      <c r="E980" s="360" t="s">
        <v>2662</v>
      </c>
      <c r="F980" s="361">
        <v>301809504</v>
      </c>
      <c r="G980" s="361" t="s">
        <v>826</v>
      </c>
      <c r="H980" s="361" t="s">
        <v>827</v>
      </c>
      <c r="I980" s="35">
        <v>176640</v>
      </c>
      <c r="J980" s="353">
        <v>50.1303</v>
      </c>
      <c r="K980" s="357">
        <f t="shared" si="46"/>
        <v>3523.6174529176965</v>
      </c>
      <c r="L980" s="477">
        <v>60</v>
      </c>
      <c r="M980" s="343">
        <f t="shared" si="47"/>
        <v>2944</v>
      </c>
      <c r="N980" s="344">
        <f ca="1" t="shared" si="45"/>
        <v>37</v>
      </c>
      <c r="O980" s="33">
        <v>128064</v>
      </c>
      <c r="P980" s="345" t="s">
        <v>823</v>
      </c>
    </row>
    <row r="981" spans="2:16" ht="46.5" customHeight="1">
      <c r="B981" s="370">
        <v>43446</v>
      </c>
      <c r="C981" s="345" t="s">
        <v>820</v>
      </c>
      <c r="D981" s="361" t="s">
        <v>1881</v>
      </c>
      <c r="E981" s="360" t="s">
        <v>2662</v>
      </c>
      <c r="F981" s="361">
        <v>301809503</v>
      </c>
      <c r="G981" s="361" t="s">
        <v>826</v>
      </c>
      <c r="H981" s="361" t="s">
        <v>827</v>
      </c>
      <c r="I981" s="35">
        <v>176640</v>
      </c>
      <c r="J981" s="353">
        <v>50.1303</v>
      </c>
      <c r="K981" s="357">
        <f t="shared" si="46"/>
        <v>3523.6174529176965</v>
      </c>
      <c r="L981" s="477">
        <v>60</v>
      </c>
      <c r="M981" s="343">
        <f t="shared" si="47"/>
        <v>2944</v>
      </c>
      <c r="N981" s="344">
        <f ca="1" t="shared" si="45"/>
        <v>37</v>
      </c>
      <c r="O981" s="33">
        <v>128064</v>
      </c>
      <c r="P981" s="345" t="s">
        <v>823</v>
      </c>
    </row>
    <row r="982" spans="2:16" ht="46.5" customHeight="1">
      <c r="B982" s="370">
        <v>43446</v>
      </c>
      <c r="C982" s="345" t="s">
        <v>820</v>
      </c>
      <c r="D982" s="361" t="s">
        <v>1882</v>
      </c>
      <c r="E982" s="360" t="s">
        <v>2663</v>
      </c>
      <c r="F982" s="361">
        <v>181143998</v>
      </c>
      <c r="G982" s="361" t="s">
        <v>826</v>
      </c>
      <c r="H982" s="361" t="s">
        <v>827</v>
      </c>
      <c r="I982" s="35">
        <v>102400</v>
      </c>
      <c r="J982" s="353">
        <v>50.1303</v>
      </c>
      <c r="K982" s="357">
        <f t="shared" si="46"/>
        <v>2042.676784300114</v>
      </c>
      <c r="L982" s="477">
        <v>60</v>
      </c>
      <c r="M982" s="343">
        <f t="shared" si="47"/>
        <v>1706.6666666666667</v>
      </c>
      <c r="N982" s="344">
        <f ca="1" t="shared" si="45"/>
        <v>37</v>
      </c>
      <c r="O982" s="33">
        <v>74240</v>
      </c>
      <c r="P982" s="345" t="s">
        <v>823</v>
      </c>
    </row>
    <row r="983" spans="2:16" ht="46.5" customHeight="1">
      <c r="B983" s="370">
        <v>43446</v>
      </c>
      <c r="C983" s="345" t="s">
        <v>820</v>
      </c>
      <c r="D983" s="361" t="s">
        <v>2683</v>
      </c>
      <c r="E983" s="360" t="s">
        <v>2666</v>
      </c>
      <c r="F983" s="361" t="s">
        <v>42</v>
      </c>
      <c r="G983" s="361" t="s">
        <v>826</v>
      </c>
      <c r="H983" s="361" t="s">
        <v>827</v>
      </c>
      <c r="I983" s="35">
        <v>9520</v>
      </c>
      <c r="J983" s="353">
        <v>50.1303</v>
      </c>
      <c r="K983" s="357">
        <f t="shared" si="46"/>
        <v>189.90510729040122</v>
      </c>
      <c r="L983" s="477">
        <v>60</v>
      </c>
      <c r="M983" s="343">
        <f t="shared" si="47"/>
        <v>158.66666666666666</v>
      </c>
      <c r="N983" s="344">
        <f ca="1" t="shared" si="45"/>
        <v>37</v>
      </c>
      <c r="O983" s="33">
        <v>6902</v>
      </c>
      <c r="P983" s="345" t="s">
        <v>828</v>
      </c>
    </row>
    <row r="984" spans="2:16" ht="46.5" customHeight="1">
      <c r="B984" s="370">
        <v>43446</v>
      </c>
      <c r="C984" s="345" t="s">
        <v>820</v>
      </c>
      <c r="D984" s="361" t="s">
        <v>2684</v>
      </c>
      <c r="E984" s="360" t="s">
        <v>2666</v>
      </c>
      <c r="F984" s="361" t="s">
        <v>42</v>
      </c>
      <c r="G984" s="361" t="s">
        <v>826</v>
      </c>
      <c r="H984" s="361" t="s">
        <v>827</v>
      </c>
      <c r="I984" s="35">
        <v>9520</v>
      </c>
      <c r="J984" s="353">
        <v>50.1303</v>
      </c>
      <c r="K984" s="357">
        <f t="shared" si="46"/>
        <v>189.90510729040122</v>
      </c>
      <c r="L984" s="477">
        <v>60</v>
      </c>
      <c r="M984" s="343">
        <f t="shared" si="47"/>
        <v>158.66666666666666</v>
      </c>
      <c r="N984" s="344">
        <f ca="1" t="shared" si="45"/>
        <v>37</v>
      </c>
      <c r="O984" s="33">
        <v>6902</v>
      </c>
      <c r="P984" s="345" t="s">
        <v>828</v>
      </c>
    </row>
    <row r="985" spans="2:16" ht="46.5" customHeight="1">
      <c r="B985" s="370">
        <v>43446</v>
      </c>
      <c r="C985" s="345" t="s">
        <v>820</v>
      </c>
      <c r="D985" s="361" t="s">
        <v>2685</v>
      </c>
      <c r="E985" s="360" t="s">
        <v>2666</v>
      </c>
      <c r="F985" s="361" t="s">
        <v>42</v>
      </c>
      <c r="G985" s="361" t="s">
        <v>826</v>
      </c>
      <c r="H985" s="361" t="s">
        <v>827</v>
      </c>
      <c r="I985" s="35">
        <v>9520</v>
      </c>
      <c r="J985" s="353">
        <v>50.1303</v>
      </c>
      <c r="K985" s="357">
        <f t="shared" si="46"/>
        <v>189.90510729040122</v>
      </c>
      <c r="L985" s="477">
        <v>60</v>
      </c>
      <c r="M985" s="343">
        <f t="shared" si="47"/>
        <v>158.66666666666666</v>
      </c>
      <c r="N985" s="344">
        <f ca="1" t="shared" si="45"/>
        <v>37</v>
      </c>
      <c r="O985" s="33">
        <v>6902</v>
      </c>
      <c r="P985" s="345" t="s">
        <v>828</v>
      </c>
    </row>
    <row r="986" spans="2:16" ht="46.5" customHeight="1">
      <c r="B986" s="370">
        <v>43446</v>
      </c>
      <c r="C986" s="345" t="s">
        <v>820</v>
      </c>
      <c r="D986" s="361" t="s">
        <v>1887</v>
      </c>
      <c r="E986" s="360" t="s">
        <v>2668</v>
      </c>
      <c r="F986" s="361" t="s">
        <v>2669</v>
      </c>
      <c r="G986" s="361" t="s">
        <v>826</v>
      </c>
      <c r="H986" s="361" t="s">
        <v>827</v>
      </c>
      <c r="I986" s="35">
        <v>75600</v>
      </c>
      <c r="J986" s="353">
        <v>50.1303</v>
      </c>
      <c r="K986" s="357">
        <f t="shared" si="46"/>
        <v>1508.0699696590684</v>
      </c>
      <c r="L986" s="477">
        <v>60</v>
      </c>
      <c r="M986" s="343">
        <f t="shared" si="47"/>
        <v>1260</v>
      </c>
      <c r="N986" s="344">
        <f ca="1" t="shared" si="45"/>
        <v>37</v>
      </c>
      <c r="O986" s="33">
        <v>54810</v>
      </c>
      <c r="P986" s="345" t="s">
        <v>828</v>
      </c>
    </row>
    <row r="987" spans="2:16" ht="46.5" customHeight="1">
      <c r="B987" s="370">
        <v>43446</v>
      </c>
      <c r="C987" s="345" t="s">
        <v>820</v>
      </c>
      <c r="D987" s="361" t="s">
        <v>1889</v>
      </c>
      <c r="E987" s="360" t="s">
        <v>2672</v>
      </c>
      <c r="F987" s="361">
        <v>172205787</v>
      </c>
      <c r="G987" s="361" t="s">
        <v>826</v>
      </c>
      <c r="H987" s="361" t="s">
        <v>827</v>
      </c>
      <c r="I987" s="35">
        <v>13608</v>
      </c>
      <c r="J987" s="353">
        <v>50.1303</v>
      </c>
      <c r="K987" s="357">
        <f t="shared" si="46"/>
        <v>271.45259453863235</v>
      </c>
      <c r="L987" s="477">
        <v>60</v>
      </c>
      <c r="M987" s="343">
        <f t="shared" si="47"/>
        <v>226.8</v>
      </c>
      <c r="N987" s="344">
        <f ca="1" t="shared" si="45"/>
        <v>37</v>
      </c>
      <c r="O987" s="33">
        <v>9865.8</v>
      </c>
      <c r="P987" s="345" t="s">
        <v>828</v>
      </c>
    </row>
    <row r="988" spans="2:16" ht="46.5" customHeight="1">
      <c r="B988" s="370">
        <v>43446</v>
      </c>
      <c r="C988" s="345" t="s">
        <v>820</v>
      </c>
      <c r="D988" s="361" t="s">
        <v>1899</v>
      </c>
      <c r="E988" s="360" t="s">
        <v>831</v>
      </c>
      <c r="F988" s="361" t="s">
        <v>42</v>
      </c>
      <c r="G988" s="361" t="s">
        <v>826</v>
      </c>
      <c r="H988" s="361" t="s">
        <v>827</v>
      </c>
      <c r="I988" s="35">
        <v>10584</v>
      </c>
      <c r="J988" s="353">
        <v>50.1303</v>
      </c>
      <c r="K988" s="357">
        <f t="shared" si="46"/>
        <v>211.1297957522696</v>
      </c>
      <c r="L988" s="477">
        <v>60</v>
      </c>
      <c r="M988" s="343">
        <f t="shared" si="47"/>
        <v>176.4</v>
      </c>
      <c r="N988" s="344">
        <f ca="1" t="shared" si="45"/>
        <v>37</v>
      </c>
      <c r="O988" s="33">
        <v>7673.4</v>
      </c>
      <c r="P988" s="345" t="s">
        <v>828</v>
      </c>
    </row>
    <row r="989" spans="2:16" ht="46.5" customHeight="1">
      <c r="B989" s="370">
        <v>43446</v>
      </c>
      <c r="C989" s="345" t="s">
        <v>820</v>
      </c>
      <c r="D989" s="361" t="s">
        <v>1913</v>
      </c>
      <c r="E989" s="360" t="s">
        <v>834</v>
      </c>
      <c r="F989" s="361" t="s">
        <v>42</v>
      </c>
      <c r="G989" s="361" t="s">
        <v>826</v>
      </c>
      <c r="H989" s="361" t="s">
        <v>827</v>
      </c>
      <c r="I989" s="35">
        <v>3024</v>
      </c>
      <c r="J989" s="353">
        <v>50.1303</v>
      </c>
      <c r="K989" s="357">
        <f t="shared" si="46"/>
        <v>60.32279878636274</v>
      </c>
      <c r="L989" s="477">
        <v>60</v>
      </c>
      <c r="M989" s="343">
        <f t="shared" si="47"/>
        <v>50.4</v>
      </c>
      <c r="N989" s="344">
        <f ca="1" t="shared" si="45"/>
        <v>37</v>
      </c>
      <c r="O989" s="33">
        <v>2192.4</v>
      </c>
      <c r="P989" s="345" t="s">
        <v>828</v>
      </c>
    </row>
    <row r="990" spans="2:16" ht="46.5" customHeight="1">
      <c r="B990" s="370">
        <v>43446</v>
      </c>
      <c r="C990" s="345" t="s">
        <v>820</v>
      </c>
      <c r="D990" s="361" t="s">
        <v>1920</v>
      </c>
      <c r="E990" s="360" t="s">
        <v>3685</v>
      </c>
      <c r="F990" s="361" t="s">
        <v>42</v>
      </c>
      <c r="G990" s="361" t="s">
        <v>826</v>
      </c>
      <c r="H990" s="361" t="s">
        <v>827</v>
      </c>
      <c r="I990" s="35">
        <v>5444</v>
      </c>
      <c r="J990" s="353">
        <v>50.1303</v>
      </c>
      <c r="K990" s="357">
        <f t="shared" si="46"/>
        <v>108.59699622783027</v>
      </c>
      <c r="L990" s="477">
        <v>60</v>
      </c>
      <c r="M990" s="343">
        <f t="shared" si="47"/>
        <v>90.73333333333333</v>
      </c>
      <c r="N990" s="344">
        <f ca="1" t="shared" si="45"/>
        <v>37</v>
      </c>
      <c r="O990" s="33">
        <v>3946.9</v>
      </c>
      <c r="P990" s="345" t="s">
        <v>828</v>
      </c>
    </row>
    <row r="991" spans="2:16" ht="46.5" customHeight="1">
      <c r="B991" s="370">
        <v>43446</v>
      </c>
      <c r="C991" s="345" t="s">
        <v>820</v>
      </c>
      <c r="D991" s="361" t="s">
        <v>1923</v>
      </c>
      <c r="E991" s="360" t="s">
        <v>3686</v>
      </c>
      <c r="F991" s="361" t="s">
        <v>42</v>
      </c>
      <c r="G991" s="361" t="s">
        <v>826</v>
      </c>
      <c r="H991" s="361" t="s">
        <v>827</v>
      </c>
      <c r="I991" s="35">
        <v>45430</v>
      </c>
      <c r="J991" s="353">
        <v>50.1303</v>
      </c>
      <c r="K991" s="357">
        <f t="shared" si="46"/>
        <v>906.2383428784588</v>
      </c>
      <c r="L991" s="477">
        <v>60</v>
      </c>
      <c r="M991" s="343">
        <f t="shared" si="47"/>
        <v>757.1666666666666</v>
      </c>
      <c r="N991" s="344">
        <f ca="1" t="shared" si="45"/>
        <v>37</v>
      </c>
      <c r="O991" s="33">
        <v>32936.75</v>
      </c>
      <c r="P991" s="345" t="s">
        <v>828</v>
      </c>
    </row>
    <row r="992" spans="2:16" ht="46.5" customHeight="1">
      <c r="B992" s="370">
        <v>43446</v>
      </c>
      <c r="C992" s="345" t="s">
        <v>820</v>
      </c>
      <c r="D992" s="361" t="s">
        <v>1879</v>
      </c>
      <c r="E992" s="360" t="s">
        <v>2662</v>
      </c>
      <c r="F992" s="361">
        <v>301809501</v>
      </c>
      <c r="G992" s="361" t="s">
        <v>824</v>
      </c>
      <c r="H992" s="361" t="s">
        <v>825</v>
      </c>
      <c r="I992" s="35">
        <v>176640</v>
      </c>
      <c r="J992" s="353">
        <v>50.1303</v>
      </c>
      <c r="K992" s="357">
        <f t="shared" si="46"/>
        <v>3523.6174529176965</v>
      </c>
      <c r="L992" s="477">
        <v>60</v>
      </c>
      <c r="M992" s="343">
        <f t="shared" si="47"/>
        <v>2944</v>
      </c>
      <c r="N992" s="344">
        <f ca="1" t="shared" si="45"/>
        <v>37</v>
      </c>
      <c r="O992" s="33">
        <v>128064</v>
      </c>
      <c r="P992" s="345" t="s">
        <v>828</v>
      </c>
    </row>
    <row r="993" spans="2:16" ht="46.5" customHeight="1">
      <c r="B993" s="370">
        <v>43446</v>
      </c>
      <c r="C993" s="345" t="s">
        <v>820</v>
      </c>
      <c r="D993" s="361" t="s">
        <v>2686</v>
      </c>
      <c r="E993" s="360" t="s">
        <v>2666</v>
      </c>
      <c r="F993" s="361" t="s">
        <v>42</v>
      </c>
      <c r="G993" s="361" t="s">
        <v>824</v>
      </c>
      <c r="H993" s="361" t="s">
        <v>825</v>
      </c>
      <c r="I993" s="35">
        <v>9520</v>
      </c>
      <c r="J993" s="353">
        <v>50.1303</v>
      </c>
      <c r="K993" s="357">
        <f t="shared" si="46"/>
        <v>189.90510729040122</v>
      </c>
      <c r="L993" s="477">
        <v>60</v>
      </c>
      <c r="M993" s="343">
        <f t="shared" si="47"/>
        <v>158.66666666666666</v>
      </c>
      <c r="N993" s="344">
        <f ca="1" t="shared" si="45"/>
        <v>37</v>
      </c>
      <c r="O993" s="33">
        <v>6902</v>
      </c>
      <c r="P993" s="345" t="s">
        <v>828</v>
      </c>
    </row>
    <row r="994" spans="2:16" ht="46.5" customHeight="1">
      <c r="B994" s="370">
        <v>43446</v>
      </c>
      <c r="C994" s="345" t="s">
        <v>820</v>
      </c>
      <c r="D994" s="361" t="s">
        <v>2687</v>
      </c>
      <c r="E994" s="360" t="s">
        <v>2666</v>
      </c>
      <c r="F994" s="361" t="s">
        <v>42</v>
      </c>
      <c r="G994" s="361" t="s">
        <v>824</v>
      </c>
      <c r="H994" s="361" t="s">
        <v>825</v>
      </c>
      <c r="I994" s="35">
        <v>9520</v>
      </c>
      <c r="J994" s="353">
        <v>50.1303</v>
      </c>
      <c r="K994" s="357">
        <f t="shared" si="46"/>
        <v>189.90510729040122</v>
      </c>
      <c r="L994" s="477">
        <v>60</v>
      </c>
      <c r="M994" s="343">
        <f t="shared" si="47"/>
        <v>158.66666666666666</v>
      </c>
      <c r="N994" s="344">
        <f ca="1" t="shared" si="45"/>
        <v>37</v>
      </c>
      <c r="O994" s="33">
        <v>6902</v>
      </c>
      <c r="P994" s="345" t="s">
        <v>828</v>
      </c>
    </row>
    <row r="995" spans="2:16" ht="46.5" customHeight="1">
      <c r="B995" s="370">
        <v>43446</v>
      </c>
      <c r="C995" s="345" t="s">
        <v>820</v>
      </c>
      <c r="D995" s="361" t="s">
        <v>2688</v>
      </c>
      <c r="E995" s="360" t="s">
        <v>2666</v>
      </c>
      <c r="F995" s="361" t="s">
        <v>42</v>
      </c>
      <c r="G995" s="361" t="s">
        <v>824</v>
      </c>
      <c r="H995" s="361" t="s">
        <v>825</v>
      </c>
      <c r="I995" s="35">
        <v>9520</v>
      </c>
      <c r="J995" s="353">
        <v>50.1303</v>
      </c>
      <c r="K995" s="357">
        <f t="shared" si="46"/>
        <v>189.90510729040122</v>
      </c>
      <c r="L995" s="477">
        <v>60</v>
      </c>
      <c r="M995" s="343">
        <f t="shared" si="47"/>
        <v>158.66666666666666</v>
      </c>
      <c r="N995" s="344">
        <f ca="1" t="shared" si="45"/>
        <v>37</v>
      </c>
      <c r="O995" s="33">
        <v>6902</v>
      </c>
      <c r="P995" s="345" t="s">
        <v>828</v>
      </c>
    </row>
    <row r="996" spans="2:16" ht="46.5" customHeight="1">
      <c r="B996" s="370">
        <v>43446</v>
      </c>
      <c r="C996" s="345" t="s">
        <v>820</v>
      </c>
      <c r="D996" s="361" t="s">
        <v>1886</v>
      </c>
      <c r="E996" s="360" t="s">
        <v>829</v>
      </c>
      <c r="F996" s="361" t="s">
        <v>2667</v>
      </c>
      <c r="G996" s="361" t="s">
        <v>824</v>
      </c>
      <c r="H996" s="361" t="s">
        <v>825</v>
      </c>
      <c r="I996" s="35">
        <v>75600</v>
      </c>
      <c r="J996" s="353">
        <v>50.1303</v>
      </c>
      <c r="K996" s="357">
        <f t="shared" si="46"/>
        <v>1508.0699696590684</v>
      </c>
      <c r="L996" s="477">
        <v>60</v>
      </c>
      <c r="M996" s="343">
        <f t="shared" si="47"/>
        <v>1260</v>
      </c>
      <c r="N996" s="344">
        <f ca="1" t="shared" si="45"/>
        <v>37</v>
      </c>
      <c r="O996" s="33">
        <v>54810</v>
      </c>
      <c r="P996" s="345" t="s">
        <v>828</v>
      </c>
    </row>
    <row r="997" spans="2:16" ht="46.5" customHeight="1">
      <c r="B997" s="370">
        <v>43446</v>
      </c>
      <c r="C997" s="345" t="s">
        <v>820</v>
      </c>
      <c r="D997" s="361" t="s">
        <v>1888</v>
      </c>
      <c r="E997" s="360" t="s">
        <v>2670</v>
      </c>
      <c r="F997" s="361" t="s">
        <v>2671</v>
      </c>
      <c r="G997" s="361" t="s">
        <v>824</v>
      </c>
      <c r="H997" s="361" t="s">
        <v>825</v>
      </c>
      <c r="I997" s="35">
        <v>14616</v>
      </c>
      <c r="J997" s="353">
        <v>50.1303</v>
      </c>
      <c r="K997" s="357">
        <f t="shared" si="46"/>
        <v>291.5601941340866</v>
      </c>
      <c r="L997" s="477">
        <v>60</v>
      </c>
      <c r="M997" s="343">
        <f t="shared" si="47"/>
        <v>243.6</v>
      </c>
      <c r="N997" s="344">
        <f ca="1" t="shared" si="45"/>
        <v>37</v>
      </c>
      <c r="O997" s="33">
        <v>10596.6</v>
      </c>
      <c r="P997" s="345" t="s">
        <v>828</v>
      </c>
    </row>
    <row r="998" spans="2:16" ht="46.5" customHeight="1">
      <c r="B998" s="370">
        <v>43446</v>
      </c>
      <c r="C998" s="345" t="s">
        <v>820</v>
      </c>
      <c r="D998" s="361" t="s">
        <v>1890</v>
      </c>
      <c r="E998" s="360" t="s">
        <v>2672</v>
      </c>
      <c r="F998" s="361">
        <v>172205754</v>
      </c>
      <c r="G998" s="361" t="s">
        <v>824</v>
      </c>
      <c r="H998" s="361" t="s">
        <v>825</v>
      </c>
      <c r="I998" s="35">
        <v>13608</v>
      </c>
      <c r="J998" s="353">
        <v>50.1303</v>
      </c>
      <c r="K998" s="357">
        <f t="shared" si="46"/>
        <v>271.45259453863235</v>
      </c>
      <c r="L998" s="477">
        <v>60</v>
      </c>
      <c r="M998" s="343">
        <f t="shared" si="47"/>
        <v>226.8</v>
      </c>
      <c r="N998" s="344">
        <f ca="1" t="shared" si="45"/>
        <v>37</v>
      </c>
      <c r="O998" s="33">
        <v>9865.8</v>
      </c>
      <c r="P998" s="345" t="s">
        <v>828</v>
      </c>
    </row>
    <row r="999" spans="2:16" ht="46.5" customHeight="1">
      <c r="B999" s="370">
        <v>43446</v>
      </c>
      <c r="C999" s="345" t="s">
        <v>820</v>
      </c>
      <c r="D999" s="361" t="s">
        <v>1894</v>
      </c>
      <c r="E999" s="360" t="s">
        <v>2674</v>
      </c>
      <c r="F999" s="361">
        <v>2018111447</v>
      </c>
      <c r="G999" s="361" t="s">
        <v>824</v>
      </c>
      <c r="H999" s="361" t="s">
        <v>825</v>
      </c>
      <c r="I999" s="35">
        <v>73080</v>
      </c>
      <c r="J999" s="353">
        <v>50.1303</v>
      </c>
      <c r="K999" s="357">
        <f t="shared" si="46"/>
        <v>1457.800970670433</v>
      </c>
      <c r="L999" s="477">
        <v>60</v>
      </c>
      <c r="M999" s="343">
        <f t="shared" si="47"/>
        <v>1218</v>
      </c>
      <c r="N999" s="344">
        <f ca="1" t="shared" si="45"/>
        <v>37</v>
      </c>
      <c r="O999" s="33">
        <v>52983</v>
      </c>
      <c r="P999" s="345" t="s">
        <v>828</v>
      </c>
    </row>
    <row r="1000" spans="2:16" ht="46.5" customHeight="1">
      <c r="B1000" s="370">
        <v>43446</v>
      </c>
      <c r="C1000" s="345" t="s">
        <v>820</v>
      </c>
      <c r="D1000" s="361" t="s">
        <v>1897</v>
      </c>
      <c r="E1000" s="360" t="s">
        <v>831</v>
      </c>
      <c r="F1000" s="361" t="s">
        <v>42</v>
      </c>
      <c r="G1000" s="361" t="s">
        <v>824</v>
      </c>
      <c r="H1000" s="361" t="s">
        <v>825</v>
      </c>
      <c r="I1000" s="35">
        <v>10584</v>
      </c>
      <c r="J1000" s="353">
        <v>50.1303</v>
      </c>
      <c r="K1000" s="357">
        <f t="shared" si="46"/>
        <v>211.1297957522696</v>
      </c>
      <c r="L1000" s="477">
        <v>60</v>
      </c>
      <c r="M1000" s="343">
        <f t="shared" si="47"/>
        <v>176.4</v>
      </c>
      <c r="N1000" s="344">
        <f ca="1" t="shared" si="45"/>
        <v>37</v>
      </c>
      <c r="O1000" s="33">
        <v>7673.4</v>
      </c>
      <c r="P1000" s="345" t="s">
        <v>828</v>
      </c>
    </row>
    <row r="1001" spans="2:16" ht="46.5" customHeight="1">
      <c r="B1001" s="370">
        <v>43446</v>
      </c>
      <c r="C1001" s="345" t="s">
        <v>820</v>
      </c>
      <c r="D1001" s="361" t="s">
        <v>1898</v>
      </c>
      <c r="E1001" s="360" t="s">
        <v>831</v>
      </c>
      <c r="F1001" s="361" t="s">
        <v>42</v>
      </c>
      <c r="G1001" s="361" t="s">
        <v>824</v>
      </c>
      <c r="H1001" s="361" t="s">
        <v>825</v>
      </c>
      <c r="I1001" s="35">
        <v>10584</v>
      </c>
      <c r="J1001" s="353">
        <v>50.1303</v>
      </c>
      <c r="K1001" s="357">
        <f t="shared" si="46"/>
        <v>211.1297957522696</v>
      </c>
      <c r="L1001" s="477">
        <v>60</v>
      </c>
      <c r="M1001" s="343">
        <f t="shared" si="47"/>
        <v>176.4</v>
      </c>
      <c r="N1001" s="344">
        <f ca="1" t="shared" si="45"/>
        <v>37</v>
      </c>
      <c r="O1001" s="33">
        <v>7673.4</v>
      </c>
      <c r="P1001" s="345" t="s">
        <v>828</v>
      </c>
    </row>
    <row r="1002" spans="2:16" ht="46.5" customHeight="1">
      <c r="B1002" s="370">
        <v>43446</v>
      </c>
      <c r="C1002" s="345" t="s">
        <v>820</v>
      </c>
      <c r="D1002" s="361" t="s">
        <v>1901</v>
      </c>
      <c r="E1002" s="360" t="s">
        <v>832</v>
      </c>
      <c r="F1002" s="361" t="s">
        <v>42</v>
      </c>
      <c r="G1002" s="361" t="s">
        <v>824</v>
      </c>
      <c r="H1002" s="361" t="s">
        <v>825</v>
      </c>
      <c r="I1002" s="35">
        <v>12600</v>
      </c>
      <c r="J1002" s="353">
        <v>50.1303</v>
      </c>
      <c r="K1002" s="357">
        <f t="shared" si="46"/>
        <v>251.34499494317808</v>
      </c>
      <c r="L1002" s="477">
        <v>60</v>
      </c>
      <c r="M1002" s="343">
        <f t="shared" si="47"/>
        <v>210</v>
      </c>
      <c r="N1002" s="344">
        <f ca="1" t="shared" si="45"/>
        <v>37</v>
      </c>
      <c r="O1002" s="33">
        <v>9135</v>
      </c>
      <c r="P1002" s="345" t="s">
        <v>828</v>
      </c>
    </row>
    <row r="1003" spans="2:16" ht="46.5" customHeight="1">
      <c r="B1003" s="370">
        <v>43446</v>
      </c>
      <c r="C1003" s="345" t="s">
        <v>820</v>
      </c>
      <c r="D1003" s="361" t="s">
        <v>1904</v>
      </c>
      <c r="E1003" s="360" t="s">
        <v>833</v>
      </c>
      <c r="F1003" s="361" t="s">
        <v>42</v>
      </c>
      <c r="G1003" s="2" t="s">
        <v>824</v>
      </c>
      <c r="H1003" s="2" t="s">
        <v>825</v>
      </c>
      <c r="I1003" s="35">
        <v>13500</v>
      </c>
      <c r="J1003" s="353">
        <v>50.1303</v>
      </c>
      <c r="K1003" s="357">
        <f t="shared" si="46"/>
        <v>269.2982088676908</v>
      </c>
      <c r="L1003" s="477">
        <v>60</v>
      </c>
      <c r="M1003" s="343">
        <f t="shared" si="47"/>
        <v>225</v>
      </c>
      <c r="N1003" s="344">
        <f ca="1" t="shared" si="45"/>
        <v>37</v>
      </c>
      <c r="O1003" s="33">
        <v>9787.5</v>
      </c>
      <c r="P1003" s="345" t="s">
        <v>828</v>
      </c>
    </row>
    <row r="1004" spans="2:16" ht="46.5" customHeight="1">
      <c r="B1004" s="370">
        <v>43446</v>
      </c>
      <c r="C1004" s="345" t="s">
        <v>820</v>
      </c>
      <c r="D1004" s="361" t="s">
        <v>1907</v>
      </c>
      <c r="E1004" s="360" t="s">
        <v>2675</v>
      </c>
      <c r="F1004" s="361" t="s">
        <v>42</v>
      </c>
      <c r="G1004" s="361" t="s">
        <v>824</v>
      </c>
      <c r="H1004" s="361" t="s">
        <v>825</v>
      </c>
      <c r="I1004" s="35">
        <v>5040</v>
      </c>
      <c r="J1004" s="353">
        <v>50.1303</v>
      </c>
      <c r="K1004" s="357">
        <f t="shared" si="46"/>
        <v>100.53799797727123</v>
      </c>
      <c r="L1004" s="477">
        <v>60</v>
      </c>
      <c r="M1004" s="343">
        <f t="shared" si="47"/>
        <v>84</v>
      </c>
      <c r="N1004" s="344">
        <f ca="1" t="shared" si="45"/>
        <v>37</v>
      </c>
      <c r="O1004" s="33">
        <v>3654</v>
      </c>
      <c r="P1004" s="345" t="s">
        <v>828</v>
      </c>
    </row>
    <row r="1005" spans="2:16" ht="46.5" customHeight="1">
      <c r="B1005" s="370">
        <v>43446</v>
      </c>
      <c r="C1005" s="345" t="s">
        <v>820</v>
      </c>
      <c r="D1005" s="361" t="s">
        <v>1908</v>
      </c>
      <c r="E1005" s="360" t="s">
        <v>2676</v>
      </c>
      <c r="F1005" s="361" t="s">
        <v>42</v>
      </c>
      <c r="G1005" s="361" t="s">
        <v>824</v>
      </c>
      <c r="H1005" s="361" t="s">
        <v>825</v>
      </c>
      <c r="I1005" s="35">
        <v>2066</v>
      </c>
      <c r="J1005" s="353">
        <v>50.1303</v>
      </c>
      <c r="K1005" s="357">
        <f t="shared" si="46"/>
        <v>41.21259996449253</v>
      </c>
      <c r="L1005" s="477">
        <v>60</v>
      </c>
      <c r="M1005" s="343">
        <f t="shared" si="47"/>
        <v>34.43333333333333</v>
      </c>
      <c r="N1005" s="344">
        <f ca="1" t="shared" si="45"/>
        <v>37</v>
      </c>
      <c r="O1005" s="33">
        <v>1497.85</v>
      </c>
      <c r="P1005" s="345" t="s">
        <v>828</v>
      </c>
    </row>
    <row r="1006" spans="2:16" ht="46.5" customHeight="1">
      <c r="B1006" s="370">
        <v>43446</v>
      </c>
      <c r="C1006" s="345" t="s">
        <v>820</v>
      </c>
      <c r="D1006" s="361" t="s">
        <v>1909</v>
      </c>
      <c r="E1006" s="360" t="s">
        <v>2676</v>
      </c>
      <c r="F1006" s="361" t="s">
        <v>42</v>
      </c>
      <c r="G1006" s="361" t="s">
        <v>824</v>
      </c>
      <c r="H1006" s="361" t="s">
        <v>825</v>
      </c>
      <c r="I1006" s="35">
        <v>2066</v>
      </c>
      <c r="J1006" s="353">
        <v>50.1303</v>
      </c>
      <c r="K1006" s="357">
        <f t="shared" si="46"/>
        <v>41.21259996449253</v>
      </c>
      <c r="L1006" s="477">
        <v>60</v>
      </c>
      <c r="M1006" s="343">
        <f t="shared" si="47"/>
        <v>34.43333333333333</v>
      </c>
      <c r="N1006" s="344">
        <f ca="1" t="shared" si="45"/>
        <v>37</v>
      </c>
      <c r="O1006" s="33">
        <v>1497.85</v>
      </c>
      <c r="P1006" s="345" t="s">
        <v>828</v>
      </c>
    </row>
    <row r="1007" spans="2:16" ht="46.5" customHeight="1">
      <c r="B1007" s="370">
        <v>43446</v>
      </c>
      <c r="C1007" s="345" t="s">
        <v>820</v>
      </c>
      <c r="D1007" s="361" t="s">
        <v>1911</v>
      </c>
      <c r="E1007" s="360" t="s">
        <v>834</v>
      </c>
      <c r="F1007" s="361" t="s">
        <v>42</v>
      </c>
      <c r="G1007" s="361" t="s">
        <v>824</v>
      </c>
      <c r="H1007" s="361" t="s">
        <v>825</v>
      </c>
      <c r="I1007" s="35">
        <v>3024</v>
      </c>
      <c r="J1007" s="353">
        <v>50.1303</v>
      </c>
      <c r="K1007" s="357">
        <f t="shared" si="46"/>
        <v>60.32279878636274</v>
      </c>
      <c r="L1007" s="477">
        <v>60</v>
      </c>
      <c r="M1007" s="343">
        <f t="shared" si="47"/>
        <v>50.4</v>
      </c>
      <c r="N1007" s="344">
        <f ca="1" t="shared" si="45"/>
        <v>37</v>
      </c>
      <c r="O1007" s="33">
        <v>2192.4</v>
      </c>
      <c r="P1007" s="345" t="s">
        <v>828</v>
      </c>
    </row>
    <row r="1008" spans="2:16" ht="46.5" customHeight="1">
      <c r="B1008" s="370">
        <v>43446</v>
      </c>
      <c r="C1008" s="345" t="s">
        <v>820</v>
      </c>
      <c r="D1008" s="361" t="s">
        <v>1912</v>
      </c>
      <c r="E1008" s="360" t="s">
        <v>834</v>
      </c>
      <c r="F1008" s="361" t="s">
        <v>42</v>
      </c>
      <c r="G1008" s="361" t="s">
        <v>824</v>
      </c>
      <c r="H1008" s="361" t="s">
        <v>825</v>
      </c>
      <c r="I1008" s="35">
        <v>3024</v>
      </c>
      <c r="J1008" s="353">
        <v>50.1303</v>
      </c>
      <c r="K1008" s="357">
        <f t="shared" si="46"/>
        <v>60.32279878636274</v>
      </c>
      <c r="L1008" s="477">
        <v>60</v>
      </c>
      <c r="M1008" s="343">
        <f t="shared" si="47"/>
        <v>50.4</v>
      </c>
      <c r="N1008" s="344">
        <f ca="1" t="shared" si="45"/>
        <v>37</v>
      </c>
      <c r="O1008" s="33">
        <v>2192.4</v>
      </c>
      <c r="P1008" s="345" t="s">
        <v>828</v>
      </c>
    </row>
    <row r="1009" spans="2:16" ht="46.5" customHeight="1">
      <c r="B1009" s="370">
        <v>43446</v>
      </c>
      <c r="C1009" s="345" t="s">
        <v>820</v>
      </c>
      <c r="D1009" s="361" t="s">
        <v>1915</v>
      </c>
      <c r="E1009" s="360" t="s">
        <v>3687</v>
      </c>
      <c r="F1009" s="361" t="s">
        <v>42</v>
      </c>
      <c r="G1009" s="361" t="s">
        <v>824</v>
      </c>
      <c r="H1009" s="361" t="s">
        <v>825</v>
      </c>
      <c r="I1009" s="35">
        <v>5444</v>
      </c>
      <c r="J1009" s="353">
        <v>50.1303</v>
      </c>
      <c r="K1009" s="357">
        <f t="shared" si="46"/>
        <v>108.59699622783027</v>
      </c>
      <c r="L1009" s="477">
        <v>60</v>
      </c>
      <c r="M1009" s="343">
        <f t="shared" si="47"/>
        <v>90.73333333333333</v>
      </c>
      <c r="N1009" s="344">
        <f ca="1" t="shared" si="45"/>
        <v>37</v>
      </c>
      <c r="O1009" s="33">
        <v>3946.9</v>
      </c>
      <c r="P1009" s="345" t="s">
        <v>828</v>
      </c>
    </row>
    <row r="1010" spans="2:16" ht="46.5" customHeight="1">
      <c r="B1010" s="370">
        <v>43446</v>
      </c>
      <c r="C1010" s="345" t="s">
        <v>820</v>
      </c>
      <c r="D1010" s="361" t="s">
        <v>1917</v>
      </c>
      <c r="E1010" s="360" t="s">
        <v>3688</v>
      </c>
      <c r="F1010" s="361" t="s">
        <v>42</v>
      </c>
      <c r="G1010" s="361" t="s">
        <v>824</v>
      </c>
      <c r="H1010" s="361" t="s">
        <v>825</v>
      </c>
      <c r="I1010" s="35">
        <v>9012</v>
      </c>
      <c r="J1010" s="353">
        <v>50.1303</v>
      </c>
      <c r="K1010" s="357">
        <f t="shared" si="46"/>
        <v>179.77151543078736</v>
      </c>
      <c r="L1010" s="477">
        <v>60</v>
      </c>
      <c r="M1010" s="343">
        <f t="shared" si="47"/>
        <v>150.2</v>
      </c>
      <c r="N1010" s="344">
        <f ca="1" t="shared" si="45"/>
        <v>37</v>
      </c>
      <c r="O1010" s="33">
        <v>6533.700000000001</v>
      </c>
      <c r="P1010" s="345" t="s">
        <v>828</v>
      </c>
    </row>
    <row r="1011" spans="2:16" ht="46.5" customHeight="1">
      <c r="B1011" s="370">
        <v>43446</v>
      </c>
      <c r="C1011" s="345" t="s">
        <v>820</v>
      </c>
      <c r="D1011" s="361" t="s">
        <v>1919</v>
      </c>
      <c r="E1011" s="360" t="s">
        <v>3689</v>
      </c>
      <c r="F1011" s="361" t="s">
        <v>42</v>
      </c>
      <c r="G1011" s="361" t="s">
        <v>824</v>
      </c>
      <c r="H1011" s="361" t="s">
        <v>825</v>
      </c>
      <c r="I1011" s="35">
        <v>2722</v>
      </c>
      <c r="J1011" s="353">
        <v>50.1303</v>
      </c>
      <c r="K1011" s="357">
        <f t="shared" si="46"/>
        <v>54.29849811391514</v>
      </c>
      <c r="L1011" s="477">
        <v>60</v>
      </c>
      <c r="M1011" s="343">
        <f t="shared" si="47"/>
        <v>45.36666666666667</v>
      </c>
      <c r="N1011" s="344">
        <f ca="1" t="shared" si="45"/>
        <v>37</v>
      </c>
      <c r="O1011" s="33">
        <v>1973.45</v>
      </c>
      <c r="P1011" s="345" t="s">
        <v>828</v>
      </c>
    </row>
    <row r="1012" spans="2:16" ht="46.5" customHeight="1">
      <c r="B1012" s="370">
        <v>43446</v>
      </c>
      <c r="C1012" s="345" t="s">
        <v>820</v>
      </c>
      <c r="D1012" s="361" t="s">
        <v>1922</v>
      </c>
      <c r="E1012" s="360" t="s">
        <v>3690</v>
      </c>
      <c r="F1012" s="361" t="s">
        <v>42</v>
      </c>
      <c r="G1012" s="361" t="s">
        <v>824</v>
      </c>
      <c r="H1012" s="361" t="s">
        <v>825</v>
      </c>
      <c r="I1012" s="35">
        <v>6048</v>
      </c>
      <c r="J1012" s="353">
        <v>50.1303</v>
      </c>
      <c r="K1012" s="357">
        <f t="shared" si="46"/>
        <v>120.64559757272548</v>
      </c>
      <c r="L1012" s="477">
        <v>60</v>
      </c>
      <c r="M1012" s="343">
        <f t="shared" si="47"/>
        <v>100.8</v>
      </c>
      <c r="N1012" s="344">
        <f ca="1" t="shared" si="45"/>
        <v>37</v>
      </c>
      <c r="O1012" s="33">
        <v>4384.8</v>
      </c>
      <c r="P1012" s="345" t="s">
        <v>828</v>
      </c>
    </row>
    <row r="1013" spans="2:16" ht="46.5" customHeight="1">
      <c r="B1013" s="370">
        <v>43446</v>
      </c>
      <c r="C1013" s="345" t="s">
        <v>820</v>
      </c>
      <c r="D1013" s="361" t="s">
        <v>1925</v>
      </c>
      <c r="E1013" s="360" t="s">
        <v>835</v>
      </c>
      <c r="F1013" s="361" t="s">
        <v>837</v>
      </c>
      <c r="G1013" s="361" t="s">
        <v>824</v>
      </c>
      <c r="H1013" s="361" t="s">
        <v>825</v>
      </c>
      <c r="I1013" s="35">
        <v>40815</v>
      </c>
      <c r="J1013" s="353">
        <v>50.1303</v>
      </c>
      <c r="K1013" s="357">
        <f t="shared" si="46"/>
        <v>814.1782514766519</v>
      </c>
      <c r="L1013" s="477">
        <v>60</v>
      </c>
      <c r="M1013" s="343">
        <f t="shared" si="47"/>
        <v>680.25</v>
      </c>
      <c r="N1013" s="344">
        <f ca="1" t="shared" si="45"/>
        <v>37</v>
      </c>
      <c r="O1013" s="33">
        <v>29590.875</v>
      </c>
      <c r="P1013" s="345" t="s">
        <v>828</v>
      </c>
    </row>
    <row r="1014" spans="2:16" ht="46.5" customHeight="1">
      <c r="B1014" s="370">
        <v>43446</v>
      </c>
      <c r="C1014" s="345" t="s">
        <v>820</v>
      </c>
      <c r="D1014" s="361" t="s">
        <v>1927</v>
      </c>
      <c r="E1014" s="360" t="s">
        <v>839</v>
      </c>
      <c r="F1014" s="361" t="s">
        <v>42</v>
      </c>
      <c r="G1014" s="361" t="s">
        <v>824</v>
      </c>
      <c r="H1014" s="361" t="s">
        <v>825</v>
      </c>
      <c r="I1014" s="35">
        <v>16337</v>
      </c>
      <c r="J1014" s="353">
        <v>50.1303</v>
      </c>
      <c r="K1014" s="357">
        <f t="shared" si="46"/>
        <v>325.89072876084924</v>
      </c>
      <c r="L1014" s="477">
        <v>60</v>
      </c>
      <c r="M1014" s="343">
        <f t="shared" si="47"/>
        <v>272.28333333333336</v>
      </c>
      <c r="N1014" s="344">
        <f ca="1" t="shared" si="45"/>
        <v>37</v>
      </c>
      <c r="O1014" s="33">
        <v>11844.325</v>
      </c>
      <c r="P1014" s="345" t="s">
        <v>828</v>
      </c>
    </row>
    <row r="1015" spans="2:16" ht="46.5" customHeight="1">
      <c r="B1015" s="370">
        <v>43446</v>
      </c>
      <c r="C1015" s="345" t="s">
        <v>820</v>
      </c>
      <c r="D1015" s="361" t="s">
        <v>1929</v>
      </c>
      <c r="E1015" s="360" t="s">
        <v>840</v>
      </c>
      <c r="F1015" s="361" t="s">
        <v>842</v>
      </c>
      <c r="G1015" s="361" t="s">
        <v>824</v>
      </c>
      <c r="H1015" s="361" t="s">
        <v>825</v>
      </c>
      <c r="I1015" s="35">
        <v>14152.54</v>
      </c>
      <c r="J1015" s="353">
        <v>50.1303</v>
      </c>
      <c r="K1015" s="357">
        <f t="shared" si="46"/>
        <v>282.3150868835814</v>
      </c>
      <c r="L1015" s="477">
        <v>60</v>
      </c>
      <c r="M1015" s="343">
        <f t="shared" si="47"/>
        <v>235.8756666666667</v>
      </c>
      <c r="N1015" s="344">
        <f ca="1" t="shared" si="45"/>
        <v>37</v>
      </c>
      <c r="O1015" s="33">
        <v>10260.5915</v>
      </c>
      <c r="P1015" s="345" t="s">
        <v>828</v>
      </c>
    </row>
    <row r="1016" spans="2:16" ht="46.5" customHeight="1">
      <c r="B1016" s="370">
        <v>43446</v>
      </c>
      <c r="C1016" s="345" t="s">
        <v>820</v>
      </c>
      <c r="D1016" s="361" t="s">
        <v>1935</v>
      </c>
      <c r="E1016" s="360" t="s">
        <v>845</v>
      </c>
      <c r="F1016" s="361" t="s">
        <v>850</v>
      </c>
      <c r="G1016" s="361" t="s">
        <v>824</v>
      </c>
      <c r="H1016" s="361" t="s">
        <v>825</v>
      </c>
      <c r="I1016" s="35">
        <v>7546.61</v>
      </c>
      <c r="J1016" s="353">
        <v>50.1303</v>
      </c>
      <c r="K1016" s="357">
        <f t="shared" si="46"/>
        <v>150.53989303874104</v>
      </c>
      <c r="L1016" s="477">
        <v>60</v>
      </c>
      <c r="M1016" s="343">
        <f t="shared" si="47"/>
        <v>125.77683333333333</v>
      </c>
      <c r="N1016" s="344">
        <f ca="1" t="shared" si="45"/>
        <v>37</v>
      </c>
      <c r="O1016" s="33">
        <v>5471.29225</v>
      </c>
      <c r="P1016" s="345" t="s">
        <v>828</v>
      </c>
    </row>
    <row r="1017" spans="2:16" ht="46.5" customHeight="1">
      <c r="B1017" s="370">
        <v>43446</v>
      </c>
      <c r="C1017" s="345" t="s">
        <v>820</v>
      </c>
      <c r="D1017" s="361" t="s">
        <v>1937</v>
      </c>
      <c r="E1017" s="360" t="s">
        <v>851</v>
      </c>
      <c r="F1017" s="361" t="s">
        <v>853</v>
      </c>
      <c r="G1017" s="361" t="s">
        <v>824</v>
      </c>
      <c r="H1017" s="361" t="s">
        <v>825</v>
      </c>
      <c r="I1017" s="35">
        <v>13478.81</v>
      </c>
      <c r="J1017" s="353">
        <v>50.1303</v>
      </c>
      <c r="K1017" s="357">
        <f t="shared" si="46"/>
        <v>268.87551041984585</v>
      </c>
      <c r="L1017" s="477">
        <v>60</v>
      </c>
      <c r="M1017" s="343">
        <f t="shared" si="47"/>
        <v>224.64683333333332</v>
      </c>
      <c r="N1017" s="344">
        <f ca="1" t="shared" si="45"/>
        <v>37</v>
      </c>
      <c r="O1017" s="33">
        <v>9772.13725</v>
      </c>
      <c r="P1017" s="345" t="s">
        <v>828</v>
      </c>
    </row>
    <row r="1018" spans="2:16" ht="45" customHeight="1">
      <c r="B1018" s="370">
        <v>43446</v>
      </c>
      <c r="C1018" s="345" t="s">
        <v>820</v>
      </c>
      <c r="D1018" s="361" t="s">
        <v>2693</v>
      </c>
      <c r="E1018" s="360" t="s">
        <v>835</v>
      </c>
      <c r="F1018" s="361" t="s">
        <v>838</v>
      </c>
      <c r="G1018" s="361" t="s">
        <v>2680</v>
      </c>
      <c r="H1018" s="361" t="s">
        <v>2681</v>
      </c>
      <c r="I1018" s="35">
        <v>40815</v>
      </c>
      <c r="J1018" s="353">
        <v>50.1303</v>
      </c>
      <c r="K1018" s="357">
        <f t="shared" si="46"/>
        <v>814.1782514766519</v>
      </c>
      <c r="L1018" s="477">
        <v>60</v>
      </c>
      <c r="M1018" s="343">
        <f t="shared" si="47"/>
        <v>680.25</v>
      </c>
      <c r="N1018" s="344">
        <f ca="1" t="shared" si="45"/>
        <v>37</v>
      </c>
      <c r="O1018" s="33">
        <v>29590.875</v>
      </c>
      <c r="P1018" s="345" t="s">
        <v>828</v>
      </c>
    </row>
    <row r="1019" spans="2:16" ht="39.75" customHeight="1">
      <c r="B1019" s="370">
        <v>43446</v>
      </c>
      <c r="C1019" s="345" t="s">
        <v>820</v>
      </c>
      <c r="D1019" s="361" t="s">
        <v>1878</v>
      </c>
      <c r="E1019" s="360" t="s">
        <v>2662</v>
      </c>
      <c r="F1019" s="361">
        <v>301809502</v>
      </c>
      <c r="G1019" s="361" t="s">
        <v>821</v>
      </c>
      <c r="H1019" s="361" t="s">
        <v>822</v>
      </c>
      <c r="I1019" s="35">
        <v>176640</v>
      </c>
      <c r="J1019" s="353">
        <v>50.1303</v>
      </c>
      <c r="K1019" s="357">
        <f t="shared" si="46"/>
        <v>3523.6174529176965</v>
      </c>
      <c r="L1019" s="477">
        <v>60</v>
      </c>
      <c r="M1019" s="343">
        <f t="shared" si="47"/>
        <v>2944</v>
      </c>
      <c r="N1019" s="344">
        <f ca="1" t="shared" si="45"/>
        <v>37</v>
      </c>
      <c r="O1019" s="33">
        <v>128064</v>
      </c>
      <c r="P1019" s="345" t="s">
        <v>828</v>
      </c>
    </row>
    <row r="1020" spans="2:16" ht="39.75" customHeight="1">
      <c r="B1020" s="370">
        <v>43446</v>
      </c>
      <c r="C1020" s="345" t="s">
        <v>820</v>
      </c>
      <c r="D1020" s="361" t="s">
        <v>2682</v>
      </c>
      <c r="E1020" s="360" t="s">
        <v>2664</v>
      </c>
      <c r="F1020" s="361" t="s">
        <v>2665</v>
      </c>
      <c r="G1020" s="361" t="s">
        <v>821</v>
      </c>
      <c r="H1020" s="361" t="s">
        <v>822</v>
      </c>
      <c r="I1020" s="35">
        <v>218400</v>
      </c>
      <c r="J1020" s="353">
        <v>50.1303</v>
      </c>
      <c r="K1020" s="357">
        <f t="shared" si="46"/>
        <v>4356.646579015087</v>
      </c>
      <c r="L1020" s="477">
        <v>60</v>
      </c>
      <c r="M1020" s="343">
        <f t="shared" si="47"/>
        <v>3640</v>
      </c>
      <c r="N1020" s="344">
        <f ca="1" t="shared" si="45"/>
        <v>37</v>
      </c>
      <c r="O1020" s="33">
        <v>158340</v>
      </c>
      <c r="P1020" s="345" t="s">
        <v>828</v>
      </c>
    </row>
    <row r="1021" spans="2:16" ht="39.75" customHeight="1">
      <c r="B1021" s="370">
        <v>43446</v>
      </c>
      <c r="C1021" s="345" t="s">
        <v>820</v>
      </c>
      <c r="D1021" s="361" t="s">
        <v>1883</v>
      </c>
      <c r="E1021" s="360" t="s">
        <v>2666</v>
      </c>
      <c r="F1021" s="361" t="s">
        <v>42</v>
      </c>
      <c r="G1021" s="361" t="s">
        <v>821</v>
      </c>
      <c r="H1021" s="361" t="s">
        <v>822</v>
      </c>
      <c r="I1021" s="35">
        <v>9520</v>
      </c>
      <c r="J1021" s="353">
        <v>50.1303</v>
      </c>
      <c r="K1021" s="357">
        <f t="shared" si="46"/>
        <v>189.90510729040122</v>
      </c>
      <c r="L1021" s="477">
        <v>60</v>
      </c>
      <c r="M1021" s="343">
        <f t="shared" si="47"/>
        <v>158.66666666666666</v>
      </c>
      <c r="N1021" s="344">
        <f ca="1" t="shared" si="45"/>
        <v>37</v>
      </c>
      <c r="O1021" s="33">
        <v>6902</v>
      </c>
      <c r="P1021" s="345" t="s">
        <v>828</v>
      </c>
    </row>
    <row r="1022" spans="2:16" ht="39.75" customHeight="1">
      <c r="B1022" s="370">
        <v>43446</v>
      </c>
      <c r="C1022" s="345" t="s">
        <v>820</v>
      </c>
      <c r="D1022" s="361" t="s">
        <v>1884</v>
      </c>
      <c r="E1022" s="360" t="s">
        <v>2666</v>
      </c>
      <c r="F1022" s="361" t="s">
        <v>42</v>
      </c>
      <c r="G1022" s="361" t="s">
        <v>821</v>
      </c>
      <c r="H1022" s="361" t="s">
        <v>822</v>
      </c>
      <c r="I1022" s="35">
        <v>9520</v>
      </c>
      <c r="J1022" s="353">
        <v>50.1303</v>
      </c>
      <c r="K1022" s="357">
        <f t="shared" si="46"/>
        <v>189.90510729040122</v>
      </c>
      <c r="L1022" s="477">
        <v>60</v>
      </c>
      <c r="M1022" s="343">
        <f t="shared" si="47"/>
        <v>158.66666666666666</v>
      </c>
      <c r="N1022" s="344">
        <f ca="1" t="shared" si="45"/>
        <v>37</v>
      </c>
      <c r="O1022" s="33">
        <v>6902</v>
      </c>
      <c r="P1022" s="345" t="s">
        <v>828</v>
      </c>
    </row>
    <row r="1023" spans="2:16" ht="39.75" customHeight="1">
      <c r="B1023" s="370">
        <v>43446</v>
      </c>
      <c r="C1023" s="345" t="s">
        <v>820</v>
      </c>
      <c r="D1023" s="361" t="s">
        <v>1885</v>
      </c>
      <c r="E1023" s="360" t="s">
        <v>829</v>
      </c>
      <c r="F1023" s="361" t="s">
        <v>2665</v>
      </c>
      <c r="G1023" s="361" t="s">
        <v>821</v>
      </c>
      <c r="H1023" s="361" t="s">
        <v>822</v>
      </c>
      <c r="I1023" s="35">
        <v>75600</v>
      </c>
      <c r="J1023" s="353">
        <v>50.1303</v>
      </c>
      <c r="K1023" s="357">
        <f t="shared" si="46"/>
        <v>1508.0699696590684</v>
      </c>
      <c r="L1023" s="477">
        <v>60</v>
      </c>
      <c r="M1023" s="343">
        <f t="shared" si="47"/>
        <v>1260</v>
      </c>
      <c r="N1023" s="344">
        <f ca="1" t="shared" si="45"/>
        <v>37</v>
      </c>
      <c r="O1023" s="33">
        <v>54810</v>
      </c>
      <c r="P1023" s="345" t="s">
        <v>828</v>
      </c>
    </row>
    <row r="1024" spans="2:16" ht="39.75" customHeight="1">
      <c r="B1024" s="370">
        <v>43446</v>
      </c>
      <c r="C1024" s="345" t="s">
        <v>820</v>
      </c>
      <c r="D1024" s="361" t="s">
        <v>2689</v>
      </c>
      <c r="E1024" s="360" t="s">
        <v>2670</v>
      </c>
      <c r="F1024" s="361" t="s">
        <v>2665</v>
      </c>
      <c r="G1024" s="361" t="s">
        <v>821</v>
      </c>
      <c r="H1024" s="361" t="s">
        <v>822</v>
      </c>
      <c r="I1024" s="35">
        <v>15080</v>
      </c>
      <c r="J1024" s="353">
        <v>50.1303</v>
      </c>
      <c r="K1024" s="357">
        <f t="shared" si="46"/>
        <v>300.81607331294646</v>
      </c>
      <c r="L1024" s="477">
        <v>60</v>
      </c>
      <c r="M1024" s="343">
        <f t="shared" si="47"/>
        <v>251.33333333333334</v>
      </c>
      <c r="N1024" s="344">
        <f ca="1" t="shared" si="45"/>
        <v>37</v>
      </c>
      <c r="O1024" s="33">
        <v>10933</v>
      </c>
      <c r="P1024" s="345" t="s">
        <v>828</v>
      </c>
    </row>
    <row r="1025" spans="2:16" ht="39.75" customHeight="1">
      <c r="B1025" s="370">
        <v>43446</v>
      </c>
      <c r="C1025" s="345" t="s">
        <v>820</v>
      </c>
      <c r="D1025" s="361" t="s">
        <v>2690</v>
      </c>
      <c r="E1025" s="360" t="s">
        <v>2672</v>
      </c>
      <c r="F1025" s="361" t="s">
        <v>2665</v>
      </c>
      <c r="G1025" s="361" t="s">
        <v>821</v>
      </c>
      <c r="H1025" s="361" t="s">
        <v>822</v>
      </c>
      <c r="I1025" s="35">
        <v>23920</v>
      </c>
      <c r="J1025" s="353">
        <v>50.1303</v>
      </c>
      <c r="K1025" s="357">
        <f t="shared" si="46"/>
        <v>477.1565300826048</v>
      </c>
      <c r="L1025" s="477">
        <v>60</v>
      </c>
      <c r="M1025" s="477">
        <f>+I1025/L1025</f>
        <v>398.6666666666667</v>
      </c>
      <c r="N1025" s="344">
        <f ca="1" t="shared" si="45"/>
        <v>37</v>
      </c>
      <c r="O1025" s="33">
        <v>17342</v>
      </c>
      <c r="P1025" s="345" t="s">
        <v>828</v>
      </c>
    </row>
    <row r="1026" spans="2:16" ht="39.75" customHeight="1">
      <c r="B1026" s="370">
        <v>43446</v>
      </c>
      <c r="C1026" s="345" t="s">
        <v>820</v>
      </c>
      <c r="D1026" s="361" t="s">
        <v>1891</v>
      </c>
      <c r="E1026" s="360" t="s">
        <v>830</v>
      </c>
      <c r="F1026" s="361" t="s">
        <v>2665</v>
      </c>
      <c r="G1026" s="361" t="s">
        <v>821</v>
      </c>
      <c r="H1026" s="361" t="s">
        <v>822</v>
      </c>
      <c r="I1026" s="35">
        <v>150545</v>
      </c>
      <c r="J1026" s="353">
        <v>50.1303</v>
      </c>
      <c r="K1026" s="357">
        <f t="shared" si="46"/>
        <v>3003.0739891841863</v>
      </c>
      <c r="L1026" s="477">
        <v>60</v>
      </c>
      <c r="M1026" s="477">
        <f aca="true" t="shared" si="48" ref="M1026:M1089">+I1026/L1026</f>
        <v>2509.0833333333335</v>
      </c>
      <c r="N1026" s="344">
        <f ca="1" t="shared" si="45"/>
        <v>37</v>
      </c>
      <c r="O1026" s="33">
        <v>109145.125</v>
      </c>
      <c r="P1026" s="345" t="s">
        <v>828</v>
      </c>
    </row>
    <row r="1027" spans="2:16" ht="39.75" customHeight="1">
      <c r="B1027" s="370">
        <v>43446</v>
      </c>
      <c r="C1027" s="345" t="s">
        <v>820</v>
      </c>
      <c r="D1027" s="361" t="s">
        <v>1892</v>
      </c>
      <c r="E1027" s="360" t="s">
        <v>2673</v>
      </c>
      <c r="F1027" s="361" t="s">
        <v>42</v>
      </c>
      <c r="G1027" s="361" t="s">
        <v>821</v>
      </c>
      <c r="H1027" s="361" t="s">
        <v>822</v>
      </c>
      <c r="I1027" s="35">
        <v>723</v>
      </c>
      <c r="J1027" s="353">
        <v>50.1303</v>
      </c>
      <c r="K1027" s="357">
        <f t="shared" si="46"/>
        <v>14.42241518602522</v>
      </c>
      <c r="L1027" s="477">
        <v>60</v>
      </c>
      <c r="M1027" s="477">
        <f t="shared" si="48"/>
        <v>12.05</v>
      </c>
      <c r="N1027" s="344">
        <f ca="1" t="shared" si="45"/>
        <v>37</v>
      </c>
      <c r="O1027" s="33">
        <v>524.175</v>
      </c>
      <c r="P1027" s="345" t="s">
        <v>828</v>
      </c>
    </row>
    <row r="1028" spans="2:16" ht="39.75" customHeight="1">
      <c r="B1028" s="370">
        <v>43446</v>
      </c>
      <c r="C1028" s="345" t="s">
        <v>820</v>
      </c>
      <c r="D1028" s="361" t="s">
        <v>1893</v>
      </c>
      <c r="E1028" s="360" t="s">
        <v>2673</v>
      </c>
      <c r="F1028" s="361" t="s">
        <v>42</v>
      </c>
      <c r="G1028" s="361" t="s">
        <v>821</v>
      </c>
      <c r="H1028" s="361" t="s">
        <v>822</v>
      </c>
      <c r="I1028" s="35">
        <v>723</v>
      </c>
      <c r="J1028" s="353">
        <v>50.1303</v>
      </c>
      <c r="K1028" s="357">
        <f t="shared" si="46"/>
        <v>14.42241518602522</v>
      </c>
      <c r="L1028" s="477">
        <v>60</v>
      </c>
      <c r="M1028" s="477">
        <f t="shared" si="48"/>
        <v>12.05</v>
      </c>
      <c r="N1028" s="344">
        <f ca="1" t="shared" si="45"/>
        <v>37</v>
      </c>
      <c r="O1028" s="33">
        <v>524.175</v>
      </c>
      <c r="P1028" s="345" t="s">
        <v>828</v>
      </c>
    </row>
    <row r="1029" spans="2:16" ht="39.75" customHeight="1">
      <c r="B1029" s="370">
        <v>43446</v>
      </c>
      <c r="C1029" s="345" t="s">
        <v>820</v>
      </c>
      <c r="D1029" s="361" t="s">
        <v>2691</v>
      </c>
      <c r="E1029" s="360" t="s">
        <v>2674</v>
      </c>
      <c r="F1029" s="361" t="s">
        <v>2665</v>
      </c>
      <c r="G1029" s="361" t="s">
        <v>821</v>
      </c>
      <c r="H1029" s="361" t="s">
        <v>822</v>
      </c>
      <c r="I1029" s="35">
        <v>73080</v>
      </c>
      <c r="J1029" s="353">
        <v>50.1303</v>
      </c>
      <c r="K1029" s="357">
        <f t="shared" si="46"/>
        <v>1457.800970670433</v>
      </c>
      <c r="L1029" s="477">
        <v>60</v>
      </c>
      <c r="M1029" s="477">
        <f t="shared" si="48"/>
        <v>1218</v>
      </c>
      <c r="N1029" s="344">
        <f ca="1" t="shared" si="45"/>
        <v>37</v>
      </c>
      <c r="O1029" s="33">
        <v>52983</v>
      </c>
      <c r="P1029" s="345" t="s">
        <v>828</v>
      </c>
    </row>
    <row r="1030" spans="2:16" ht="39.75" customHeight="1">
      <c r="B1030" s="370">
        <v>43446</v>
      </c>
      <c r="C1030" s="345" t="s">
        <v>820</v>
      </c>
      <c r="D1030" s="361" t="s">
        <v>1895</v>
      </c>
      <c r="E1030" s="360" t="s">
        <v>831</v>
      </c>
      <c r="F1030" s="361" t="s">
        <v>42</v>
      </c>
      <c r="G1030" s="361" t="s">
        <v>821</v>
      </c>
      <c r="H1030" s="361" t="s">
        <v>822</v>
      </c>
      <c r="I1030" s="35">
        <v>10584</v>
      </c>
      <c r="J1030" s="353">
        <v>50.1303</v>
      </c>
      <c r="K1030" s="357">
        <f t="shared" si="46"/>
        <v>211.1297957522696</v>
      </c>
      <c r="L1030" s="477">
        <v>60</v>
      </c>
      <c r="M1030" s="477">
        <f t="shared" si="48"/>
        <v>176.4</v>
      </c>
      <c r="N1030" s="344">
        <f ca="1" t="shared" si="45"/>
        <v>37</v>
      </c>
      <c r="O1030" s="33">
        <v>7673.4</v>
      </c>
      <c r="P1030" s="345" t="s">
        <v>828</v>
      </c>
    </row>
    <row r="1031" spans="2:16" ht="39.75" customHeight="1">
      <c r="B1031" s="370">
        <v>43446</v>
      </c>
      <c r="C1031" s="345" t="s">
        <v>820</v>
      </c>
      <c r="D1031" s="361" t="s">
        <v>1896</v>
      </c>
      <c r="E1031" s="360" t="s">
        <v>831</v>
      </c>
      <c r="F1031" s="361" t="s">
        <v>42</v>
      </c>
      <c r="G1031" s="361" t="s">
        <v>821</v>
      </c>
      <c r="H1031" s="361" t="s">
        <v>822</v>
      </c>
      <c r="I1031" s="35">
        <v>10584</v>
      </c>
      <c r="J1031" s="353">
        <v>50.1303</v>
      </c>
      <c r="K1031" s="357">
        <f t="shared" si="46"/>
        <v>211.1297957522696</v>
      </c>
      <c r="L1031" s="477">
        <v>60</v>
      </c>
      <c r="M1031" s="477">
        <f t="shared" si="48"/>
        <v>176.4</v>
      </c>
      <c r="N1031" s="344">
        <f ca="1" t="shared" si="45"/>
        <v>37</v>
      </c>
      <c r="O1031" s="33">
        <v>7673.4</v>
      </c>
      <c r="P1031" s="345" t="s">
        <v>828</v>
      </c>
    </row>
    <row r="1032" spans="2:16" ht="39.75" customHeight="1">
      <c r="B1032" s="370">
        <v>43446</v>
      </c>
      <c r="C1032" s="345" t="s">
        <v>820</v>
      </c>
      <c r="D1032" s="361" t="s">
        <v>1900</v>
      </c>
      <c r="E1032" s="360" t="s">
        <v>832</v>
      </c>
      <c r="F1032" s="361" t="s">
        <v>42</v>
      </c>
      <c r="G1032" s="361" t="s">
        <v>821</v>
      </c>
      <c r="H1032" s="361" t="s">
        <v>822</v>
      </c>
      <c r="I1032" s="35">
        <v>12600</v>
      </c>
      <c r="J1032" s="353">
        <v>50.1303</v>
      </c>
      <c r="K1032" s="357">
        <f t="shared" si="46"/>
        <v>251.34499494317808</v>
      </c>
      <c r="L1032" s="477">
        <v>60</v>
      </c>
      <c r="M1032" s="477">
        <f t="shared" si="48"/>
        <v>210</v>
      </c>
      <c r="N1032" s="344">
        <f aca="true" ca="1" t="shared" si="49" ref="N1032:N1095">IF(B1032&lt;&gt;0,(ROUND((NOW()-B1032)/30,0)),0)</f>
        <v>37</v>
      </c>
      <c r="O1032" s="33">
        <v>9135</v>
      </c>
      <c r="P1032" s="345" t="s">
        <v>828</v>
      </c>
    </row>
    <row r="1033" spans="2:16" ht="39.75" customHeight="1">
      <c r="B1033" s="370">
        <v>43446</v>
      </c>
      <c r="C1033" s="345" t="s">
        <v>820</v>
      </c>
      <c r="D1033" s="361" t="s">
        <v>1902</v>
      </c>
      <c r="E1033" s="360" t="s">
        <v>833</v>
      </c>
      <c r="F1033" s="361" t="s">
        <v>42</v>
      </c>
      <c r="G1033" s="2" t="s">
        <v>821</v>
      </c>
      <c r="H1033" s="2" t="s">
        <v>822</v>
      </c>
      <c r="I1033" s="35">
        <v>13500</v>
      </c>
      <c r="J1033" s="353">
        <v>50.1303</v>
      </c>
      <c r="K1033" s="357">
        <f aca="true" t="shared" si="50" ref="K1033:K1096">+I1033/J1033</f>
        <v>269.2982088676908</v>
      </c>
      <c r="L1033" s="477">
        <v>60</v>
      </c>
      <c r="M1033" s="477">
        <f t="shared" si="48"/>
        <v>225</v>
      </c>
      <c r="N1033" s="344">
        <f ca="1" t="shared" si="49"/>
        <v>37</v>
      </c>
      <c r="O1033" s="33">
        <v>9787.5</v>
      </c>
      <c r="P1033" s="345" t="s">
        <v>828</v>
      </c>
    </row>
    <row r="1034" spans="2:16" ht="39.75" customHeight="1">
      <c r="B1034" s="370">
        <v>43446</v>
      </c>
      <c r="C1034" s="345" t="s">
        <v>820</v>
      </c>
      <c r="D1034" s="361" t="s">
        <v>1903</v>
      </c>
      <c r="E1034" s="360" t="s">
        <v>833</v>
      </c>
      <c r="F1034" s="361" t="s">
        <v>42</v>
      </c>
      <c r="G1034" s="2" t="s">
        <v>821</v>
      </c>
      <c r="H1034" s="2" t="s">
        <v>822</v>
      </c>
      <c r="I1034" s="35">
        <v>13500</v>
      </c>
      <c r="J1034" s="353">
        <v>50.1303</v>
      </c>
      <c r="K1034" s="357">
        <f t="shared" si="50"/>
        <v>269.2982088676908</v>
      </c>
      <c r="L1034" s="477">
        <v>60</v>
      </c>
      <c r="M1034" s="477">
        <f t="shared" si="48"/>
        <v>225</v>
      </c>
      <c r="N1034" s="344">
        <f ca="1" t="shared" si="49"/>
        <v>37</v>
      </c>
      <c r="O1034" s="33">
        <v>9787.5</v>
      </c>
      <c r="P1034" s="345" t="s">
        <v>746</v>
      </c>
    </row>
    <row r="1035" spans="2:16" ht="39.75" customHeight="1">
      <c r="B1035" s="370">
        <v>43446</v>
      </c>
      <c r="C1035" s="345" t="s">
        <v>820</v>
      </c>
      <c r="D1035" s="361" t="s">
        <v>1905</v>
      </c>
      <c r="E1035" s="360" t="s">
        <v>2675</v>
      </c>
      <c r="F1035" s="361" t="s">
        <v>42</v>
      </c>
      <c r="G1035" s="361" t="s">
        <v>821</v>
      </c>
      <c r="H1035" s="361" t="s">
        <v>822</v>
      </c>
      <c r="I1035" s="35">
        <v>5040</v>
      </c>
      <c r="J1035" s="353">
        <v>50.1303</v>
      </c>
      <c r="K1035" s="357">
        <f t="shared" si="50"/>
        <v>100.53799797727123</v>
      </c>
      <c r="L1035" s="477">
        <v>60</v>
      </c>
      <c r="M1035" s="477">
        <f t="shared" si="48"/>
        <v>84</v>
      </c>
      <c r="N1035" s="344">
        <f ca="1" t="shared" si="49"/>
        <v>37</v>
      </c>
      <c r="O1035" s="33">
        <v>3654</v>
      </c>
      <c r="P1035" s="345" t="s">
        <v>746</v>
      </c>
    </row>
    <row r="1036" spans="2:16" ht="39.75" customHeight="1">
      <c r="B1036" s="370">
        <v>43446</v>
      </c>
      <c r="C1036" s="345" t="s">
        <v>820</v>
      </c>
      <c r="D1036" s="361" t="s">
        <v>1906</v>
      </c>
      <c r="E1036" s="360" t="s">
        <v>2675</v>
      </c>
      <c r="F1036" s="361" t="s">
        <v>42</v>
      </c>
      <c r="G1036" s="361" t="s">
        <v>821</v>
      </c>
      <c r="H1036" s="361" t="s">
        <v>822</v>
      </c>
      <c r="I1036" s="35">
        <v>5040</v>
      </c>
      <c r="J1036" s="353">
        <v>50.1303</v>
      </c>
      <c r="K1036" s="357">
        <f t="shared" si="50"/>
        <v>100.53799797727123</v>
      </c>
      <c r="L1036" s="477">
        <v>60</v>
      </c>
      <c r="M1036" s="477">
        <f t="shared" si="48"/>
        <v>84</v>
      </c>
      <c r="N1036" s="344">
        <f ca="1" t="shared" si="49"/>
        <v>37</v>
      </c>
      <c r="O1036" s="33">
        <v>3654</v>
      </c>
      <c r="P1036" s="345" t="s">
        <v>746</v>
      </c>
    </row>
    <row r="1037" spans="2:16" ht="39.75" customHeight="1">
      <c r="B1037" s="370">
        <v>43446</v>
      </c>
      <c r="C1037" s="345" t="s">
        <v>820</v>
      </c>
      <c r="D1037" s="361" t="s">
        <v>1910</v>
      </c>
      <c r="E1037" s="360" t="s">
        <v>834</v>
      </c>
      <c r="F1037" s="361" t="s">
        <v>42</v>
      </c>
      <c r="G1037" s="361" t="s">
        <v>821</v>
      </c>
      <c r="H1037" s="361" t="s">
        <v>822</v>
      </c>
      <c r="I1037" s="35">
        <v>3024</v>
      </c>
      <c r="J1037" s="353">
        <v>50.1303</v>
      </c>
      <c r="K1037" s="357">
        <f t="shared" si="50"/>
        <v>60.32279878636274</v>
      </c>
      <c r="L1037" s="477">
        <v>60</v>
      </c>
      <c r="M1037" s="477">
        <f t="shared" si="48"/>
        <v>50.4</v>
      </c>
      <c r="N1037" s="344">
        <f ca="1" t="shared" si="49"/>
        <v>37</v>
      </c>
      <c r="O1037" s="33">
        <v>2192.4</v>
      </c>
      <c r="P1037" s="345" t="s">
        <v>746</v>
      </c>
    </row>
    <row r="1038" spans="2:16" ht="39.75" customHeight="1">
      <c r="B1038" s="370">
        <v>43446</v>
      </c>
      <c r="C1038" s="345" t="s">
        <v>820</v>
      </c>
      <c r="D1038" s="361" t="s">
        <v>1914</v>
      </c>
      <c r="E1038" s="360" t="s">
        <v>3691</v>
      </c>
      <c r="F1038" s="361" t="s">
        <v>42</v>
      </c>
      <c r="G1038" s="361" t="s">
        <v>821</v>
      </c>
      <c r="H1038" s="361" t="s">
        <v>822</v>
      </c>
      <c r="I1038" s="35">
        <v>10888</v>
      </c>
      <c r="J1038" s="353">
        <v>50.1303</v>
      </c>
      <c r="K1038" s="357">
        <f t="shared" si="50"/>
        <v>217.19399245566055</v>
      </c>
      <c r="L1038" s="477">
        <v>60</v>
      </c>
      <c r="M1038" s="477">
        <f t="shared" si="48"/>
        <v>181.46666666666667</v>
      </c>
      <c r="N1038" s="344">
        <f ca="1" t="shared" si="49"/>
        <v>37</v>
      </c>
      <c r="O1038" s="33">
        <v>7893.8</v>
      </c>
      <c r="P1038" s="345" t="s">
        <v>746</v>
      </c>
    </row>
    <row r="1039" spans="2:16" ht="39.75" customHeight="1">
      <c r="B1039" s="370">
        <v>43446</v>
      </c>
      <c r="C1039" s="345" t="s">
        <v>820</v>
      </c>
      <c r="D1039" s="361" t="s">
        <v>1916</v>
      </c>
      <c r="E1039" s="360" t="s">
        <v>3692</v>
      </c>
      <c r="F1039" s="361" t="s">
        <v>42</v>
      </c>
      <c r="G1039" s="361" t="s">
        <v>821</v>
      </c>
      <c r="H1039" s="361" t="s">
        <v>822</v>
      </c>
      <c r="I1039" s="35">
        <v>15020</v>
      </c>
      <c r="J1039" s="353">
        <v>50.1303</v>
      </c>
      <c r="K1039" s="357">
        <f t="shared" si="50"/>
        <v>299.6191923846456</v>
      </c>
      <c r="L1039" s="477">
        <v>60</v>
      </c>
      <c r="M1039" s="477">
        <f t="shared" si="48"/>
        <v>250.33333333333334</v>
      </c>
      <c r="N1039" s="344">
        <f ca="1" t="shared" si="49"/>
        <v>37</v>
      </c>
      <c r="O1039" s="33">
        <v>10889.5</v>
      </c>
      <c r="P1039" s="345" t="s">
        <v>746</v>
      </c>
    </row>
    <row r="1040" spans="2:16" ht="39.75" customHeight="1">
      <c r="B1040" s="370">
        <v>43446</v>
      </c>
      <c r="C1040" s="345" t="s">
        <v>820</v>
      </c>
      <c r="D1040" s="361" t="s">
        <v>1918</v>
      </c>
      <c r="E1040" s="360" t="s">
        <v>3685</v>
      </c>
      <c r="F1040" s="361" t="s">
        <v>42</v>
      </c>
      <c r="G1040" s="361" t="s">
        <v>821</v>
      </c>
      <c r="H1040" s="361" t="s">
        <v>822</v>
      </c>
      <c r="I1040" s="35">
        <v>5444</v>
      </c>
      <c r="J1040" s="353">
        <v>50.1303</v>
      </c>
      <c r="K1040" s="357">
        <f t="shared" si="50"/>
        <v>108.59699622783027</v>
      </c>
      <c r="L1040" s="477">
        <v>60</v>
      </c>
      <c r="M1040" s="477">
        <f t="shared" si="48"/>
        <v>90.73333333333333</v>
      </c>
      <c r="N1040" s="344">
        <f ca="1" t="shared" si="49"/>
        <v>37</v>
      </c>
      <c r="O1040" s="33">
        <v>3946.9</v>
      </c>
      <c r="P1040" s="345" t="s">
        <v>746</v>
      </c>
    </row>
    <row r="1041" spans="2:16" ht="39.75" customHeight="1">
      <c r="B1041" s="370">
        <v>43446</v>
      </c>
      <c r="C1041" s="345" t="s">
        <v>820</v>
      </c>
      <c r="D1041" s="361" t="s">
        <v>1921</v>
      </c>
      <c r="E1041" s="360" t="s">
        <v>3693</v>
      </c>
      <c r="F1041" s="361" t="s">
        <v>42</v>
      </c>
      <c r="G1041" s="361" t="s">
        <v>821</v>
      </c>
      <c r="H1041" s="361" t="s">
        <v>822</v>
      </c>
      <c r="I1041" s="35">
        <v>12096</v>
      </c>
      <c r="J1041" s="353">
        <v>50.1303</v>
      </c>
      <c r="K1041" s="357">
        <f t="shared" si="50"/>
        <v>241.29119514545096</v>
      </c>
      <c r="L1041" s="477">
        <v>60</v>
      </c>
      <c r="M1041" s="477">
        <f t="shared" si="48"/>
        <v>201.6</v>
      </c>
      <c r="N1041" s="344">
        <f ca="1" t="shared" si="49"/>
        <v>37</v>
      </c>
      <c r="O1041" s="33">
        <v>8769.6</v>
      </c>
      <c r="P1041" s="345" t="s">
        <v>746</v>
      </c>
    </row>
    <row r="1042" spans="2:16" ht="45" customHeight="1">
      <c r="B1042" s="370">
        <v>43446</v>
      </c>
      <c r="C1042" s="345" t="s">
        <v>820</v>
      </c>
      <c r="D1042" s="361" t="s">
        <v>1924</v>
      </c>
      <c r="E1042" s="360" t="s">
        <v>835</v>
      </c>
      <c r="F1042" s="361" t="s">
        <v>836</v>
      </c>
      <c r="G1042" s="361" t="s">
        <v>821</v>
      </c>
      <c r="H1042" s="361" t="s">
        <v>822</v>
      </c>
      <c r="I1042" s="35">
        <v>40815</v>
      </c>
      <c r="J1042" s="353">
        <v>50.1303</v>
      </c>
      <c r="K1042" s="357">
        <f t="shared" si="50"/>
        <v>814.1782514766519</v>
      </c>
      <c r="L1042" s="477">
        <v>60</v>
      </c>
      <c r="M1042" s="477">
        <f t="shared" si="48"/>
        <v>680.25</v>
      </c>
      <c r="N1042" s="344">
        <f ca="1" t="shared" si="49"/>
        <v>37</v>
      </c>
      <c r="O1042" s="33">
        <v>29590.875</v>
      </c>
      <c r="P1042" s="345" t="s">
        <v>746</v>
      </c>
    </row>
    <row r="1043" spans="2:16" ht="39.75" customHeight="1">
      <c r="B1043" s="370">
        <v>43446</v>
      </c>
      <c r="C1043" s="345" t="s">
        <v>820</v>
      </c>
      <c r="D1043" s="361" t="s">
        <v>1926</v>
      </c>
      <c r="E1043" s="360" t="s">
        <v>839</v>
      </c>
      <c r="F1043" s="361" t="s">
        <v>42</v>
      </c>
      <c r="G1043" s="361" t="s">
        <v>821</v>
      </c>
      <c r="H1043" s="361" t="s">
        <v>822</v>
      </c>
      <c r="I1043" s="35">
        <v>16337</v>
      </c>
      <c r="J1043" s="353">
        <v>50.1303</v>
      </c>
      <c r="K1043" s="357">
        <f t="shared" si="50"/>
        <v>325.89072876084924</v>
      </c>
      <c r="L1043" s="477">
        <v>60</v>
      </c>
      <c r="M1043" s="477">
        <f t="shared" si="48"/>
        <v>272.28333333333336</v>
      </c>
      <c r="N1043" s="344">
        <f ca="1" t="shared" si="49"/>
        <v>37</v>
      </c>
      <c r="O1043" s="33">
        <v>11844.325</v>
      </c>
      <c r="P1043" s="345" t="s">
        <v>746</v>
      </c>
    </row>
    <row r="1044" spans="2:16" ht="39.75" customHeight="1">
      <c r="B1044" s="370">
        <v>43446</v>
      </c>
      <c r="C1044" s="345" t="s">
        <v>820</v>
      </c>
      <c r="D1044" s="361" t="s">
        <v>1928</v>
      </c>
      <c r="E1044" s="360" t="s">
        <v>840</v>
      </c>
      <c r="F1044" s="361" t="s">
        <v>841</v>
      </c>
      <c r="G1044" s="361" t="s">
        <v>821</v>
      </c>
      <c r="H1044" s="361" t="s">
        <v>822</v>
      </c>
      <c r="I1044" s="35">
        <v>14152.54</v>
      </c>
      <c r="J1044" s="353">
        <v>50.1303</v>
      </c>
      <c r="K1044" s="357">
        <f t="shared" si="50"/>
        <v>282.3150868835814</v>
      </c>
      <c r="L1044" s="477">
        <v>60</v>
      </c>
      <c r="M1044" s="477">
        <f t="shared" si="48"/>
        <v>235.8756666666667</v>
      </c>
      <c r="N1044" s="344">
        <f ca="1" t="shared" si="49"/>
        <v>37</v>
      </c>
      <c r="O1044" s="33">
        <v>10260.5915</v>
      </c>
      <c r="P1044" s="345" t="s">
        <v>746</v>
      </c>
    </row>
    <row r="1045" spans="2:16" ht="39.75" customHeight="1">
      <c r="B1045" s="370">
        <v>43446</v>
      </c>
      <c r="C1045" s="345" t="s">
        <v>820</v>
      </c>
      <c r="D1045" s="361" t="s">
        <v>1930</v>
      </c>
      <c r="E1045" s="360" t="s">
        <v>840</v>
      </c>
      <c r="F1045" s="361" t="s">
        <v>843</v>
      </c>
      <c r="G1045" s="361" t="s">
        <v>821</v>
      </c>
      <c r="H1045" s="361" t="s">
        <v>849</v>
      </c>
      <c r="I1045" s="35">
        <v>14152.54</v>
      </c>
      <c r="J1045" s="353">
        <v>50.1303</v>
      </c>
      <c r="K1045" s="357">
        <f t="shared" si="50"/>
        <v>282.3150868835814</v>
      </c>
      <c r="L1045" s="477">
        <v>60</v>
      </c>
      <c r="M1045" s="477">
        <f t="shared" si="48"/>
        <v>235.8756666666667</v>
      </c>
      <c r="N1045" s="344">
        <f ca="1" t="shared" si="49"/>
        <v>37</v>
      </c>
      <c r="O1045" s="33">
        <v>10260.5915</v>
      </c>
      <c r="P1045" s="345" t="s">
        <v>746</v>
      </c>
    </row>
    <row r="1046" spans="2:16" ht="39.75" customHeight="1">
      <c r="B1046" s="370">
        <v>43446</v>
      </c>
      <c r="C1046" s="345" t="s">
        <v>820</v>
      </c>
      <c r="D1046" s="361" t="s">
        <v>1932</v>
      </c>
      <c r="E1046" s="360" t="s">
        <v>845</v>
      </c>
      <c r="F1046" s="361" t="s">
        <v>846</v>
      </c>
      <c r="G1046" s="361" t="s">
        <v>821</v>
      </c>
      <c r="H1046" s="361" t="s">
        <v>2679</v>
      </c>
      <c r="I1046" s="35">
        <v>7546.61</v>
      </c>
      <c r="J1046" s="353">
        <v>50.1303</v>
      </c>
      <c r="K1046" s="357">
        <f t="shared" si="50"/>
        <v>150.53989303874104</v>
      </c>
      <c r="L1046" s="477">
        <v>60</v>
      </c>
      <c r="M1046" s="477">
        <f t="shared" si="48"/>
        <v>125.77683333333333</v>
      </c>
      <c r="N1046" s="344">
        <f ca="1" t="shared" si="49"/>
        <v>37</v>
      </c>
      <c r="O1046" s="33">
        <v>5471.29225</v>
      </c>
      <c r="P1046" s="345" t="s">
        <v>746</v>
      </c>
    </row>
    <row r="1047" spans="2:16" ht="39.75" customHeight="1">
      <c r="B1047" s="370">
        <v>43446</v>
      </c>
      <c r="C1047" s="345" t="s">
        <v>820</v>
      </c>
      <c r="D1047" s="361" t="s">
        <v>1933</v>
      </c>
      <c r="E1047" s="360" t="s">
        <v>845</v>
      </c>
      <c r="F1047" s="361" t="s">
        <v>847</v>
      </c>
      <c r="G1047" s="361" t="s">
        <v>821</v>
      </c>
      <c r="H1047" s="361" t="s">
        <v>822</v>
      </c>
      <c r="I1047" s="35">
        <v>7546.61</v>
      </c>
      <c r="J1047" s="353">
        <v>50.1303</v>
      </c>
      <c r="K1047" s="357">
        <f t="shared" si="50"/>
        <v>150.53989303874104</v>
      </c>
      <c r="L1047" s="477">
        <v>60</v>
      </c>
      <c r="M1047" s="477">
        <f t="shared" si="48"/>
        <v>125.77683333333333</v>
      </c>
      <c r="N1047" s="344">
        <f ca="1" t="shared" si="49"/>
        <v>37</v>
      </c>
      <c r="O1047" s="33">
        <v>5471.29225</v>
      </c>
      <c r="P1047" s="345" t="s">
        <v>746</v>
      </c>
    </row>
    <row r="1048" spans="2:16" ht="39.75" customHeight="1">
      <c r="B1048" s="370">
        <v>43446</v>
      </c>
      <c r="C1048" s="345" t="s">
        <v>820</v>
      </c>
      <c r="D1048" s="361" t="s">
        <v>1934</v>
      </c>
      <c r="E1048" s="360" t="s">
        <v>845</v>
      </c>
      <c r="F1048" s="361" t="s">
        <v>848</v>
      </c>
      <c r="G1048" s="361" t="s">
        <v>821</v>
      </c>
      <c r="H1048" s="361" t="s">
        <v>849</v>
      </c>
      <c r="I1048" s="35">
        <v>7546.61</v>
      </c>
      <c r="J1048" s="353">
        <v>50.1303</v>
      </c>
      <c r="K1048" s="357">
        <f t="shared" si="50"/>
        <v>150.53989303874104</v>
      </c>
      <c r="L1048" s="477">
        <v>60</v>
      </c>
      <c r="M1048" s="477">
        <f t="shared" si="48"/>
        <v>125.77683333333333</v>
      </c>
      <c r="N1048" s="344">
        <f ca="1" t="shared" si="49"/>
        <v>37</v>
      </c>
      <c r="O1048" s="33">
        <v>5471.29225</v>
      </c>
      <c r="P1048" s="345" t="s">
        <v>746</v>
      </c>
    </row>
    <row r="1049" spans="2:16" ht="39.75" customHeight="1">
      <c r="B1049" s="370">
        <v>43446</v>
      </c>
      <c r="C1049" s="345" t="s">
        <v>820</v>
      </c>
      <c r="D1049" s="361" t="s">
        <v>1936</v>
      </c>
      <c r="E1049" s="360" t="s">
        <v>851</v>
      </c>
      <c r="F1049" s="361" t="s">
        <v>852</v>
      </c>
      <c r="G1049" s="361" t="s">
        <v>821</v>
      </c>
      <c r="H1049" s="361" t="s">
        <v>822</v>
      </c>
      <c r="I1049" s="35">
        <v>13478.81</v>
      </c>
      <c r="J1049" s="353">
        <v>50.1303</v>
      </c>
      <c r="K1049" s="357">
        <f t="shared" si="50"/>
        <v>268.87551041984585</v>
      </c>
      <c r="L1049" s="477">
        <v>60</v>
      </c>
      <c r="M1049" s="477">
        <f t="shared" si="48"/>
        <v>224.64683333333332</v>
      </c>
      <c r="N1049" s="344">
        <f ca="1" t="shared" si="49"/>
        <v>37</v>
      </c>
      <c r="O1049" s="33">
        <v>9772.13725</v>
      </c>
      <c r="P1049" s="345" t="s">
        <v>746</v>
      </c>
    </row>
    <row r="1050" spans="2:16" ht="39.75" customHeight="1">
      <c r="B1050" s="370">
        <v>43446</v>
      </c>
      <c r="C1050" s="345" t="s">
        <v>820</v>
      </c>
      <c r="D1050" s="361" t="s">
        <v>1931</v>
      </c>
      <c r="E1050" s="360" t="s">
        <v>840</v>
      </c>
      <c r="F1050" s="361" t="s">
        <v>844</v>
      </c>
      <c r="G1050" s="361" t="s">
        <v>2678</v>
      </c>
      <c r="H1050" s="361" t="s">
        <v>2679</v>
      </c>
      <c r="I1050" s="35">
        <v>14152.54</v>
      </c>
      <c r="J1050" s="353">
        <v>50.1303</v>
      </c>
      <c r="K1050" s="357">
        <f t="shared" si="50"/>
        <v>282.3150868835814</v>
      </c>
      <c r="L1050" s="477">
        <v>60</v>
      </c>
      <c r="M1050" s="477">
        <f t="shared" si="48"/>
        <v>235.8756666666667</v>
      </c>
      <c r="N1050" s="344">
        <f ca="1" t="shared" si="49"/>
        <v>37</v>
      </c>
      <c r="O1050" s="33">
        <v>10260.5915</v>
      </c>
      <c r="P1050" s="345" t="s">
        <v>746</v>
      </c>
    </row>
    <row r="1051" spans="2:16" ht="39.75" customHeight="1">
      <c r="B1051" s="370">
        <v>43446</v>
      </c>
      <c r="C1051" s="345" t="s">
        <v>820</v>
      </c>
      <c r="D1051" s="361" t="s">
        <v>1938</v>
      </c>
      <c r="E1051" s="360" t="s">
        <v>851</v>
      </c>
      <c r="F1051" s="361" t="s">
        <v>854</v>
      </c>
      <c r="G1051" s="361" t="s">
        <v>2678</v>
      </c>
      <c r="H1051" s="361" t="s">
        <v>2679</v>
      </c>
      <c r="I1051" s="35">
        <v>13478.81</v>
      </c>
      <c r="J1051" s="353">
        <v>50.1303</v>
      </c>
      <c r="K1051" s="357">
        <f t="shared" si="50"/>
        <v>268.87551041984585</v>
      </c>
      <c r="L1051" s="477">
        <v>60</v>
      </c>
      <c r="M1051" s="477">
        <f t="shared" si="48"/>
        <v>224.64683333333332</v>
      </c>
      <c r="N1051" s="344">
        <f ca="1" t="shared" si="49"/>
        <v>37</v>
      </c>
      <c r="O1051" s="33">
        <v>9772.13725</v>
      </c>
      <c r="P1051" s="345" t="s">
        <v>746</v>
      </c>
    </row>
    <row r="1052" spans="2:16" ht="39.75" customHeight="1">
      <c r="B1052" s="370">
        <v>43501</v>
      </c>
      <c r="C1052" s="345" t="s">
        <v>2677</v>
      </c>
      <c r="D1052" s="361" t="s">
        <v>2692</v>
      </c>
      <c r="E1052" s="360" t="s">
        <v>3694</v>
      </c>
      <c r="F1052" s="361" t="s">
        <v>42</v>
      </c>
      <c r="G1052" s="361" t="s">
        <v>821</v>
      </c>
      <c r="H1052" s="361" t="s">
        <v>822</v>
      </c>
      <c r="I1052" s="35">
        <v>4368</v>
      </c>
      <c r="J1052" s="353">
        <v>50.1303</v>
      </c>
      <c r="K1052" s="357">
        <f t="shared" si="50"/>
        <v>87.13293158030174</v>
      </c>
      <c r="L1052" s="477">
        <v>60</v>
      </c>
      <c r="M1052" s="477">
        <f t="shared" si="48"/>
        <v>72.8</v>
      </c>
      <c r="N1052" s="344">
        <f ca="1" t="shared" si="49"/>
        <v>35</v>
      </c>
      <c r="O1052" s="33">
        <v>3239.6000000000004</v>
      </c>
      <c r="P1052" s="345" t="s">
        <v>828</v>
      </c>
    </row>
    <row r="1053" spans="2:16" ht="39.75" customHeight="1">
      <c r="B1053" s="31">
        <v>43654</v>
      </c>
      <c r="C1053" s="341" t="s">
        <v>3019</v>
      </c>
      <c r="D1053" s="2" t="s">
        <v>3022</v>
      </c>
      <c r="E1053" s="26" t="s">
        <v>3023</v>
      </c>
      <c r="F1053" s="2" t="s">
        <v>42</v>
      </c>
      <c r="G1053" s="2" t="s">
        <v>3024</v>
      </c>
      <c r="H1053" s="2" t="s">
        <v>3025</v>
      </c>
      <c r="I1053" s="35">
        <v>1912000</v>
      </c>
      <c r="J1053" s="353">
        <v>50.7102</v>
      </c>
      <c r="K1053" s="357">
        <f t="shared" si="50"/>
        <v>37704.446048329526</v>
      </c>
      <c r="L1053" s="477">
        <v>60</v>
      </c>
      <c r="M1053" s="477">
        <f t="shared" si="48"/>
        <v>31866.666666666668</v>
      </c>
      <c r="N1053" s="344">
        <f ca="1" t="shared" si="49"/>
        <v>30</v>
      </c>
      <c r="O1053" s="33">
        <v>531111.1111111112</v>
      </c>
      <c r="P1053" s="340" t="s">
        <v>3026</v>
      </c>
    </row>
    <row r="1054" spans="2:16" ht="39.75" customHeight="1">
      <c r="B1054" s="31">
        <v>43654</v>
      </c>
      <c r="C1054" s="341" t="s">
        <v>3019</v>
      </c>
      <c r="D1054" s="2" t="s">
        <v>3040</v>
      </c>
      <c r="E1054" s="26" t="s">
        <v>3041</v>
      </c>
      <c r="F1054" s="2" t="s">
        <v>3042</v>
      </c>
      <c r="G1054" s="2" t="s">
        <v>3024</v>
      </c>
      <c r="H1054" s="2" t="s">
        <v>3025</v>
      </c>
      <c r="I1054" s="35">
        <v>9960</v>
      </c>
      <c r="J1054" s="353">
        <v>50.7102</v>
      </c>
      <c r="K1054" s="357">
        <f t="shared" si="50"/>
        <v>196.41018966598435</v>
      </c>
      <c r="L1054" s="477">
        <v>60</v>
      </c>
      <c r="M1054" s="477">
        <f t="shared" si="48"/>
        <v>166</v>
      </c>
      <c r="N1054" s="344">
        <f ca="1" t="shared" si="49"/>
        <v>30</v>
      </c>
      <c r="O1054" s="33">
        <v>2766.666666666666</v>
      </c>
      <c r="P1054" s="340" t="s">
        <v>3026</v>
      </c>
    </row>
    <row r="1055" spans="2:16" ht="39.75" customHeight="1">
      <c r="B1055" s="31">
        <v>43654</v>
      </c>
      <c r="C1055" s="341" t="s">
        <v>3019</v>
      </c>
      <c r="D1055" s="2" t="s">
        <v>3043</v>
      </c>
      <c r="E1055" s="26" t="s">
        <v>3041</v>
      </c>
      <c r="F1055" s="2" t="s">
        <v>3044</v>
      </c>
      <c r="G1055" s="2" t="s">
        <v>3024</v>
      </c>
      <c r="H1055" s="2" t="s">
        <v>3025</v>
      </c>
      <c r="I1055" s="35">
        <v>9960</v>
      </c>
      <c r="J1055" s="353">
        <v>50.7102</v>
      </c>
      <c r="K1055" s="357">
        <f t="shared" si="50"/>
        <v>196.41018966598435</v>
      </c>
      <c r="L1055" s="477">
        <v>60</v>
      </c>
      <c r="M1055" s="477">
        <f t="shared" si="48"/>
        <v>166</v>
      </c>
      <c r="N1055" s="344">
        <f ca="1" t="shared" si="49"/>
        <v>30</v>
      </c>
      <c r="O1055" s="33">
        <v>2766.666666666666</v>
      </c>
      <c r="P1055" s="340" t="s">
        <v>3026</v>
      </c>
    </row>
    <row r="1056" spans="2:16" ht="39.75" customHeight="1">
      <c r="B1056" s="31">
        <v>43654</v>
      </c>
      <c r="C1056" s="341" t="s">
        <v>3019</v>
      </c>
      <c r="D1056" s="2" t="s">
        <v>3045</v>
      </c>
      <c r="E1056" s="26" t="s">
        <v>3041</v>
      </c>
      <c r="F1056" s="2" t="s">
        <v>3046</v>
      </c>
      <c r="G1056" s="2" t="s">
        <v>3024</v>
      </c>
      <c r="H1056" s="2" t="s">
        <v>3025</v>
      </c>
      <c r="I1056" s="35">
        <v>9960</v>
      </c>
      <c r="J1056" s="353">
        <v>50.7102</v>
      </c>
      <c r="K1056" s="357">
        <f t="shared" si="50"/>
        <v>196.41018966598435</v>
      </c>
      <c r="L1056" s="477">
        <v>60</v>
      </c>
      <c r="M1056" s="477">
        <f t="shared" si="48"/>
        <v>166</v>
      </c>
      <c r="N1056" s="344">
        <f ca="1" t="shared" si="49"/>
        <v>30</v>
      </c>
      <c r="O1056" s="33">
        <v>2766.666666666666</v>
      </c>
      <c r="P1056" s="340" t="s">
        <v>3026</v>
      </c>
    </row>
    <row r="1057" spans="2:16" ht="39.75" customHeight="1">
      <c r="B1057" s="31">
        <v>43654</v>
      </c>
      <c r="C1057" s="341" t="s">
        <v>3019</v>
      </c>
      <c r="D1057" s="2" t="s">
        <v>3047</v>
      </c>
      <c r="E1057" s="26" t="s">
        <v>3041</v>
      </c>
      <c r="F1057" s="2" t="s">
        <v>3048</v>
      </c>
      <c r="G1057" s="2" t="s">
        <v>3024</v>
      </c>
      <c r="H1057" s="2" t="s">
        <v>3025</v>
      </c>
      <c r="I1057" s="35">
        <v>9960</v>
      </c>
      <c r="J1057" s="353">
        <v>50.7102</v>
      </c>
      <c r="K1057" s="357">
        <f t="shared" si="50"/>
        <v>196.41018966598435</v>
      </c>
      <c r="L1057" s="477">
        <v>60</v>
      </c>
      <c r="M1057" s="477">
        <f t="shared" si="48"/>
        <v>166</v>
      </c>
      <c r="N1057" s="344">
        <f ca="1" t="shared" si="49"/>
        <v>30</v>
      </c>
      <c r="O1057" s="33">
        <v>2766.666666666666</v>
      </c>
      <c r="P1057" s="340" t="s">
        <v>3026</v>
      </c>
    </row>
    <row r="1058" spans="2:16" ht="39.75" customHeight="1">
      <c r="B1058" s="31">
        <v>43654</v>
      </c>
      <c r="C1058" s="341" t="s">
        <v>3019</v>
      </c>
      <c r="D1058" s="2" t="s">
        <v>3049</v>
      </c>
      <c r="E1058" s="26" t="s">
        <v>3041</v>
      </c>
      <c r="F1058" s="2" t="s">
        <v>3050</v>
      </c>
      <c r="G1058" s="2" t="s">
        <v>3024</v>
      </c>
      <c r="H1058" s="2" t="s">
        <v>3025</v>
      </c>
      <c r="I1058" s="35">
        <v>9960</v>
      </c>
      <c r="J1058" s="353">
        <v>50.7102</v>
      </c>
      <c r="K1058" s="357">
        <f t="shared" si="50"/>
        <v>196.41018966598435</v>
      </c>
      <c r="L1058" s="477">
        <v>60</v>
      </c>
      <c r="M1058" s="477">
        <f t="shared" si="48"/>
        <v>166</v>
      </c>
      <c r="N1058" s="344">
        <f ca="1" t="shared" si="49"/>
        <v>30</v>
      </c>
      <c r="O1058" s="33">
        <v>2766.666666666666</v>
      </c>
      <c r="P1058" s="340" t="s">
        <v>3026</v>
      </c>
    </row>
    <row r="1059" spans="2:16" ht="39.75" customHeight="1">
      <c r="B1059" s="31">
        <v>43654</v>
      </c>
      <c r="C1059" s="341" t="s">
        <v>3019</v>
      </c>
      <c r="D1059" s="2" t="s">
        <v>3051</v>
      </c>
      <c r="E1059" s="26" t="s">
        <v>3041</v>
      </c>
      <c r="F1059" s="2" t="s">
        <v>3052</v>
      </c>
      <c r="G1059" s="2" t="s">
        <v>3024</v>
      </c>
      <c r="H1059" s="2" t="s">
        <v>3025</v>
      </c>
      <c r="I1059" s="35">
        <v>9960</v>
      </c>
      <c r="J1059" s="353">
        <v>50.7102</v>
      </c>
      <c r="K1059" s="357">
        <f t="shared" si="50"/>
        <v>196.41018966598435</v>
      </c>
      <c r="L1059" s="477">
        <v>60</v>
      </c>
      <c r="M1059" s="477">
        <f t="shared" si="48"/>
        <v>166</v>
      </c>
      <c r="N1059" s="344">
        <f ca="1" t="shared" si="49"/>
        <v>30</v>
      </c>
      <c r="O1059" s="33">
        <v>2766.666666666666</v>
      </c>
      <c r="P1059" s="340" t="s">
        <v>3026</v>
      </c>
    </row>
    <row r="1060" spans="2:16" ht="39.75" customHeight="1">
      <c r="B1060" s="31">
        <v>43654</v>
      </c>
      <c r="C1060" s="341" t="s">
        <v>3019</v>
      </c>
      <c r="D1060" s="2" t="s">
        <v>3027</v>
      </c>
      <c r="E1060" s="26" t="s">
        <v>3028</v>
      </c>
      <c r="F1060" s="2" t="s">
        <v>3029</v>
      </c>
      <c r="G1060" s="2" t="s">
        <v>3707</v>
      </c>
      <c r="H1060" s="2" t="s">
        <v>3025</v>
      </c>
      <c r="I1060" s="35">
        <v>16985</v>
      </c>
      <c r="J1060" s="353">
        <v>50.7102</v>
      </c>
      <c r="K1060" s="357">
        <f t="shared" si="50"/>
        <v>334.942477055898</v>
      </c>
      <c r="L1060" s="477">
        <v>60</v>
      </c>
      <c r="M1060" s="477">
        <f t="shared" si="48"/>
        <v>283.0833333333333</v>
      </c>
      <c r="N1060" s="344">
        <f ca="1" t="shared" si="49"/>
        <v>30</v>
      </c>
      <c r="O1060" s="33">
        <v>4718.055555555557</v>
      </c>
      <c r="P1060" s="340" t="s">
        <v>3026</v>
      </c>
    </row>
    <row r="1061" spans="2:16" ht="39.75" customHeight="1">
      <c r="B1061" s="31">
        <v>43654</v>
      </c>
      <c r="C1061" s="341" t="s">
        <v>3019</v>
      </c>
      <c r="D1061" s="2" t="s">
        <v>3030</v>
      </c>
      <c r="E1061" s="26" t="s">
        <v>3028</v>
      </c>
      <c r="F1061" s="2" t="s">
        <v>3031</v>
      </c>
      <c r="G1061" s="2" t="s">
        <v>3707</v>
      </c>
      <c r="H1061" s="2" t="s">
        <v>3025</v>
      </c>
      <c r="I1061" s="35">
        <v>16985</v>
      </c>
      <c r="J1061" s="353">
        <v>50.7102</v>
      </c>
      <c r="K1061" s="357">
        <f t="shared" si="50"/>
        <v>334.942477055898</v>
      </c>
      <c r="L1061" s="477">
        <v>60</v>
      </c>
      <c r="M1061" s="477">
        <f t="shared" si="48"/>
        <v>283.0833333333333</v>
      </c>
      <c r="N1061" s="344">
        <f ca="1" t="shared" si="49"/>
        <v>30</v>
      </c>
      <c r="O1061" s="33">
        <v>4718.055555555557</v>
      </c>
      <c r="P1061" s="340" t="s">
        <v>3026</v>
      </c>
    </row>
    <row r="1062" spans="2:16" ht="39.75" customHeight="1">
      <c r="B1062" s="31">
        <v>43654</v>
      </c>
      <c r="C1062" s="341" t="s">
        <v>3019</v>
      </c>
      <c r="D1062" s="2" t="s">
        <v>3032</v>
      </c>
      <c r="E1062" s="26" t="s">
        <v>3028</v>
      </c>
      <c r="F1062" s="2" t="s">
        <v>3033</v>
      </c>
      <c r="G1062" s="2" t="s">
        <v>3707</v>
      </c>
      <c r="H1062" s="2" t="s">
        <v>3025</v>
      </c>
      <c r="I1062" s="35">
        <v>16985</v>
      </c>
      <c r="J1062" s="353">
        <v>50.7102</v>
      </c>
      <c r="K1062" s="357">
        <f t="shared" si="50"/>
        <v>334.942477055898</v>
      </c>
      <c r="L1062" s="477">
        <v>60</v>
      </c>
      <c r="M1062" s="477">
        <f t="shared" si="48"/>
        <v>283.0833333333333</v>
      </c>
      <c r="N1062" s="344">
        <f ca="1" t="shared" si="49"/>
        <v>30</v>
      </c>
      <c r="O1062" s="33">
        <v>4718.055555555557</v>
      </c>
      <c r="P1062" s="340" t="s">
        <v>3026</v>
      </c>
    </row>
    <row r="1063" spans="2:16" ht="39.75" customHeight="1">
      <c r="B1063" s="31">
        <v>43654</v>
      </c>
      <c r="C1063" s="341" t="s">
        <v>3019</v>
      </c>
      <c r="D1063" s="2" t="s">
        <v>3034</v>
      </c>
      <c r="E1063" s="26" t="s">
        <v>3028</v>
      </c>
      <c r="F1063" s="2" t="s">
        <v>3035</v>
      </c>
      <c r="G1063" s="2" t="s">
        <v>3707</v>
      </c>
      <c r="H1063" s="2" t="s">
        <v>3025</v>
      </c>
      <c r="I1063" s="35">
        <v>16985</v>
      </c>
      <c r="J1063" s="353">
        <v>50.7102</v>
      </c>
      <c r="K1063" s="357">
        <f t="shared" si="50"/>
        <v>334.942477055898</v>
      </c>
      <c r="L1063" s="477">
        <v>60</v>
      </c>
      <c r="M1063" s="477">
        <f t="shared" si="48"/>
        <v>283.0833333333333</v>
      </c>
      <c r="N1063" s="344">
        <f ca="1" t="shared" si="49"/>
        <v>30</v>
      </c>
      <c r="O1063" s="33">
        <v>4718.055555555557</v>
      </c>
      <c r="P1063" s="340" t="s">
        <v>3026</v>
      </c>
    </row>
    <row r="1064" spans="2:16" ht="39.75" customHeight="1">
      <c r="B1064" s="31">
        <v>43654</v>
      </c>
      <c r="C1064" s="341" t="s">
        <v>3019</v>
      </c>
      <c r="D1064" s="2" t="s">
        <v>3036</v>
      </c>
      <c r="E1064" s="26" t="s">
        <v>3028</v>
      </c>
      <c r="F1064" s="2" t="s">
        <v>3037</v>
      </c>
      <c r="G1064" s="2" t="s">
        <v>3707</v>
      </c>
      <c r="H1064" s="2" t="s">
        <v>3025</v>
      </c>
      <c r="I1064" s="35">
        <v>16985</v>
      </c>
      <c r="J1064" s="353">
        <v>50.7102</v>
      </c>
      <c r="K1064" s="357">
        <f t="shared" si="50"/>
        <v>334.942477055898</v>
      </c>
      <c r="L1064" s="477">
        <v>60</v>
      </c>
      <c r="M1064" s="477">
        <f t="shared" si="48"/>
        <v>283.0833333333333</v>
      </c>
      <c r="N1064" s="344">
        <f ca="1" t="shared" si="49"/>
        <v>30</v>
      </c>
      <c r="O1064" s="33">
        <v>4718.055555555557</v>
      </c>
      <c r="P1064" s="340" t="s">
        <v>3026</v>
      </c>
    </row>
    <row r="1065" spans="2:16" ht="39.75" customHeight="1">
      <c r="B1065" s="31">
        <v>43654</v>
      </c>
      <c r="C1065" s="341" t="s">
        <v>3019</v>
      </c>
      <c r="D1065" s="2" t="s">
        <v>3038</v>
      </c>
      <c r="E1065" s="26" t="s">
        <v>3028</v>
      </c>
      <c r="F1065" s="2" t="s">
        <v>3039</v>
      </c>
      <c r="G1065" s="2" t="s">
        <v>3707</v>
      </c>
      <c r="H1065" s="2" t="s">
        <v>3025</v>
      </c>
      <c r="I1065" s="35">
        <v>16985</v>
      </c>
      <c r="J1065" s="353">
        <v>50.7102</v>
      </c>
      <c r="K1065" s="357">
        <f t="shared" si="50"/>
        <v>334.942477055898</v>
      </c>
      <c r="L1065" s="477">
        <v>60</v>
      </c>
      <c r="M1065" s="477">
        <f t="shared" si="48"/>
        <v>283.0833333333333</v>
      </c>
      <c r="N1065" s="344">
        <f ca="1" t="shared" si="49"/>
        <v>30</v>
      </c>
      <c r="O1065" s="33">
        <v>4718.055555555557</v>
      </c>
      <c r="P1065" s="340" t="s">
        <v>3026</v>
      </c>
    </row>
    <row r="1066" spans="2:16" ht="39.75" customHeight="1">
      <c r="B1066" s="31">
        <v>43703</v>
      </c>
      <c r="C1066" s="341" t="s">
        <v>3020</v>
      </c>
      <c r="D1066" s="2" t="s">
        <v>3053</v>
      </c>
      <c r="E1066" s="26" t="s">
        <v>3054</v>
      </c>
      <c r="F1066" s="2" t="s">
        <v>3451</v>
      </c>
      <c r="G1066" s="2" t="s">
        <v>3420</v>
      </c>
      <c r="H1066" s="2" t="s">
        <v>437</v>
      </c>
      <c r="I1066" s="35">
        <v>63474.58</v>
      </c>
      <c r="J1066" s="353">
        <v>51.1519</v>
      </c>
      <c r="K1066" s="357">
        <f t="shared" si="50"/>
        <v>1240.903661447571</v>
      </c>
      <c r="L1066" s="477">
        <v>60</v>
      </c>
      <c r="M1066" s="477">
        <f t="shared" si="48"/>
        <v>1057.9096666666667</v>
      </c>
      <c r="N1066" s="344">
        <f ca="1" t="shared" si="49"/>
        <v>29</v>
      </c>
      <c r="O1066" s="33">
        <v>50250.70916666667</v>
      </c>
      <c r="P1066" s="340" t="s">
        <v>3055</v>
      </c>
    </row>
    <row r="1067" spans="2:16" ht="39.75" customHeight="1">
      <c r="B1067" s="31">
        <v>43703</v>
      </c>
      <c r="C1067" s="341" t="s">
        <v>3020</v>
      </c>
      <c r="D1067" s="2" t="s">
        <v>3056</v>
      </c>
      <c r="E1067" s="26" t="s">
        <v>3054</v>
      </c>
      <c r="F1067" s="2" t="s">
        <v>3463</v>
      </c>
      <c r="G1067" s="2" t="s">
        <v>3695</v>
      </c>
      <c r="H1067" s="2" t="s">
        <v>437</v>
      </c>
      <c r="I1067" s="35">
        <v>63474.58</v>
      </c>
      <c r="J1067" s="353">
        <v>51.1519</v>
      </c>
      <c r="K1067" s="357">
        <f t="shared" si="50"/>
        <v>1240.903661447571</v>
      </c>
      <c r="L1067" s="477">
        <v>60</v>
      </c>
      <c r="M1067" s="477">
        <f t="shared" si="48"/>
        <v>1057.9096666666667</v>
      </c>
      <c r="N1067" s="344">
        <f ca="1" t="shared" si="49"/>
        <v>29</v>
      </c>
      <c r="O1067" s="33">
        <v>50250.70916666667</v>
      </c>
      <c r="P1067" s="340" t="s">
        <v>3055</v>
      </c>
    </row>
    <row r="1068" spans="2:16" ht="39.75" customHeight="1">
      <c r="B1068" s="31">
        <v>43745</v>
      </c>
      <c r="C1068" s="341" t="s">
        <v>3021</v>
      </c>
      <c r="D1068" s="2" t="s">
        <v>3057</v>
      </c>
      <c r="E1068" s="26" t="s">
        <v>3058</v>
      </c>
      <c r="F1068" s="2" t="s">
        <v>3059</v>
      </c>
      <c r="G1068" s="2" t="s">
        <v>3024</v>
      </c>
      <c r="H1068" s="2" t="s">
        <v>3025</v>
      </c>
      <c r="I1068" s="35">
        <v>37847.46</v>
      </c>
      <c r="J1068" s="353">
        <v>52.2593</v>
      </c>
      <c r="K1068" s="357">
        <f t="shared" si="50"/>
        <v>724.2243964232204</v>
      </c>
      <c r="L1068" s="477">
        <v>60</v>
      </c>
      <c r="M1068" s="477">
        <f t="shared" si="48"/>
        <v>630.7909999999999</v>
      </c>
      <c r="N1068" s="344">
        <f ca="1" t="shared" si="49"/>
        <v>27</v>
      </c>
      <c r="O1068" s="33">
        <v>30593.3635</v>
      </c>
      <c r="P1068" s="340" t="s">
        <v>604</v>
      </c>
    </row>
    <row r="1069" spans="2:16" ht="39.75" customHeight="1">
      <c r="B1069" s="31">
        <v>43745</v>
      </c>
      <c r="C1069" s="341" t="s">
        <v>3021</v>
      </c>
      <c r="D1069" s="2" t="s">
        <v>3060</v>
      </c>
      <c r="E1069" s="26" t="s">
        <v>3058</v>
      </c>
      <c r="F1069" s="2" t="s">
        <v>3061</v>
      </c>
      <c r="G1069" s="2" t="s">
        <v>3024</v>
      </c>
      <c r="H1069" s="2" t="s">
        <v>3025</v>
      </c>
      <c r="I1069" s="35">
        <v>37847.46</v>
      </c>
      <c r="J1069" s="353">
        <v>52.2593</v>
      </c>
      <c r="K1069" s="357">
        <f t="shared" si="50"/>
        <v>724.2243964232204</v>
      </c>
      <c r="L1069" s="477">
        <v>60</v>
      </c>
      <c r="M1069" s="477">
        <f t="shared" si="48"/>
        <v>630.7909999999999</v>
      </c>
      <c r="N1069" s="344">
        <f ca="1" t="shared" si="49"/>
        <v>27</v>
      </c>
      <c r="O1069" s="33">
        <v>30593.3635</v>
      </c>
      <c r="P1069" s="340" t="s">
        <v>604</v>
      </c>
    </row>
    <row r="1070" spans="2:16" ht="39.75" customHeight="1">
      <c r="B1070" s="31">
        <v>43745</v>
      </c>
      <c r="C1070" s="341" t="s">
        <v>3021</v>
      </c>
      <c r="D1070" s="2" t="s">
        <v>3062</v>
      </c>
      <c r="E1070" s="26" t="s">
        <v>3058</v>
      </c>
      <c r="F1070" s="2" t="s">
        <v>3063</v>
      </c>
      <c r="G1070" s="2" t="s">
        <v>3024</v>
      </c>
      <c r="H1070" s="2" t="s">
        <v>3025</v>
      </c>
      <c r="I1070" s="35">
        <v>37847.46</v>
      </c>
      <c r="J1070" s="353">
        <v>52.2593</v>
      </c>
      <c r="K1070" s="357">
        <f t="shared" si="50"/>
        <v>724.2243964232204</v>
      </c>
      <c r="L1070" s="477">
        <v>60</v>
      </c>
      <c r="M1070" s="477">
        <f t="shared" si="48"/>
        <v>630.7909999999999</v>
      </c>
      <c r="N1070" s="344">
        <f ca="1" t="shared" si="49"/>
        <v>27</v>
      </c>
      <c r="O1070" s="33">
        <v>30593.3635</v>
      </c>
      <c r="P1070" s="340" t="s">
        <v>604</v>
      </c>
    </row>
    <row r="1071" spans="2:16" ht="39.75" customHeight="1">
      <c r="B1071" s="31">
        <v>43745</v>
      </c>
      <c r="C1071" s="341" t="s">
        <v>3021</v>
      </c>
      <c r="D1071" s="2" t="s">
        <v>3064</v>
      </c>
      <c r="E1071" s="26" t="s">
        <v>3058</v>
      </c>
      <c r="F1071" s="2" t="s">
        <v>3065</v>
      </c>
      <c r="G1071" s="2" t="s">
        <v>3024</v>
      </c>
      <c r="H1071" s="2" t="s">
        <v>3025</v>
      </c>
      <c r="I1071" s="35">
        <v>37847.46</v>
      </c>
      <c r="J1071" s="353">
        <v>52.2593</v>
      </c>
      <c r="K1071" s="357">
        <f t="shared" si="50"/>
        <v>724.2243964232204</v>
      </c>
      <c r="L1071" s="477">
        <v>60</v>
      </c>
      <c r="M1071" s="477">
        <f t="shared" si="48"/>
        <v>630.7909999999999</v>
      </c>
      <c r="N1071" s="344">
        <f ca="1" t="shared" si="49"/>
        <v>27</v>
      </c>
      <c r="O1071" s="33">
        <v>30593.3635</v>
      </c>
      <c r="P1071" s="340" t="s">
        <v>604</v>
      </c>
    </row>
    <row r="1072" spans="2:16" ht="39.75" customHeight="1">
      <c r="B1072" s="31">
        <v>43745</v>
      </c>
      <c r="C1072" s="341" t="s">
        <v>3021</v>
      </c>
      <c r="D1072" s="2" t="s">
        <v>3066</v>
      </c>
      <c r="E1072" s="26" t="s">
        <v>3058</v>
      </c>
      <c r="F1072" s="2" t="s">
        <v>3067</v>
      </c>
      <c r="G1072" s="2" t="s">
        <v>3024</v>
      </c>
      <c r="H1072" s="2" t="s">
        <v>3025</v>
      </c>
      <c r="I1072" s="35">
        <v>37847.46</v>
      </c>
      <c r="J1072" s="353">
        <v>52.2593</v>
      </c>
      <c r="K1072" s="357">
        <f t="shared" si="50"/>
        <v>724.2243964232204</v>
      </c>
      <c r="L1072" s="477">
        <v>60</v>
      </c>
      <c r="M1072" s="477">
        <f t="shared" si="48"/>
        <v>630.7909999999999</v>
      </c>
      <c r="N1072" s="344">
        <f ca="1" t="shared" si="49"/>
        <v>27</v>
      </c>
      <c r="O1072" s="33">
        <v>30593.3635</v>
      </c>
      <c r="P1072" s="340" t="s">
        <v>604</v>
      </c>
    </row>
    <row r="1073" spans="2:16" ht="39.75" customHeight="1">
      <c r="B1073" s="31">
        <v>43745</v>
      </c>
      <c r="C1073" s="341" t="s">
        <v>3021</v>
      </c>
      <c r="D1073" s="2" t="s">
        <v>3068</v>
      </c>
      <c r="E1073" s="26" t="s">
        <v>3058</v>
      </c>
      <c r="F1073" s="2" t="s">
        <v>3069</v>
      </c>
      <c r="G1073" s="2" t="s">
        <v>3024</v>
      </c>
      <c r="H1073" s="2" t="s">
        <v>3025</v>
      </c>
      <c r="I1073" s="35">
        <v>37847.46</v>
      </c>
      <c r="J1073" s="353">
        <v>52.2593</v>
      </c>
      <c r="K1073" s="357">
        <f t="shared" si="50"/>
        <v>724.2243964232204</v>
      </c>
      <c r="L1073" s="477">
        <v>60</v>
      </c>
      <c r="M1073" s="477">
        <f t="shared" si="48"/>
        <v>630.7909999999999</v>
      </c>
      <c r="N1073" s="344">
        <f ca="1" t="shared" si="49"/>
        <v>27</v>
      </c>
      <c r="O1073" s="33">
        <v>30593.3635</v>
      </c>
      <c r="P1073" s="340" t="s">
        <v>604</v>
      </c>
    </row>
    <row r="1074" spans="2:16" ht="39.75" customHeight="1">
      <c r="B1074" s="31">
        <v>43745</v>
      </c>
      <c r="C1074" s="341" t="s">
        <v>3021</v>
      </c>
      <c r="D1074" s="2" t="s">
        <v>3070</v>
      </c>
      <c r="E1074" s="26" t="s">
        <v>3058</v>
      </c>
      <c r="F1074" s="2" t="s">
        <v>3071</v>
      </c>
      <c r="G1074" s="2" t="s">
        <v>3024</v>
      </c>
      <c r="H1074" s="2" t="s">
        <v>3025</v>
      </c>
      <c r="I1074" s="35">
        <v>37847.46</v>
      </c>
      <c r="J1074" s="353">
        <v>52.2593</v>
      </c>
      <c r="K1074" s="357">
        <f t="shared" si="50"/>
        <v>724.2243964232204</v>
      </c>
      <c r="L1074" s="477">
        <v>60</v>
      </c>
      <c r="M1074" s="477">
        <f t="shared" si="48"/>
        <v>630.7909999999999</v>
      </c>
      <c r="N1074" s="344">
        <f ca="1" t="shared" si="49"/>
        <v>27</v>
      </c>
      <c r="O1074" s="33">
        <v>30593.3635</v>
      </c>
      <c r="P1074" s="340" t="s">
        <v>604</v>
      </c>
    </row>
    <row r="1075" spans="2:16" ht="39.75" customHeight="1">
      <c r="B1075" s="31">
        <v>43745</v>
      </c>
      <c r="C1075" s="341" t="s">
        <v>3021</v>
      </c>
      <c r="D1075" s="2" t="s">
        <v>3072</v>
      </c>
      <c r="E1075" s="26" t="s">
        <v>3058</v>
      </c>
      <c r="F1075" s="2" t="s">
        <v>3073</v>
      </c>
      <c r="G1075" s="2" t="s">
        <v>3024</v>
      </c>
      <c r="H1075" s="2" t="s">
        <v>3025</v>
      </c>
      <c r="I1075" s="35">
        <v>37847.46</v>
      </c>
      <c r="J1075" s="353">
        <v>52.2593</v>
      </c>
      <c r="K1075" s="357">
        <f t="shared" si="50"/>
        <v>724.2243964232204</v>
      </c>
      <c r="L1075" s="477">
        <v>60</v>
      </c>
      <c r="M1075" s="477">
        <f t="shared" si="48"/>
        <v>630.7909999999999</v>
      </c>
      <c r="N1075" s="344">
        <f ca="1" t="shared" si="49"/>
        <v>27</v>
      </c>
      <c r="O1075" s="33">
        <v>30593.3635</v>
      </c>
      <c r="P1075" s="340" t="s">
        <v>604</v>
      </c>
    </row>
    <row r="1076" spans="2:16" ht="39.75" customHeight="1">
      <c r="B1076" s="31">
        <v>43745</v>
      </c>
      <c r="C1076" s="341" t="s">
        <v>3021</v>
      </c>
      <c r="D1076" s="2" t="s">
        <v>3074</v>
      </c>
      <c r="E1076" s="26" t="s">
        <v>3075</v>
      </c>
      <c r="F1076" s="17" t="s">
        <v>3076</v>
      </c>
      <c r="G1076" s="17" t="s">
        <v>3024</v>
      </c>
      <c r="H1076" s="2" t="s">
        <v>3025</v>
      </c>
      <c r="I1076" s="35">
        <v>1447.02</v>
      </c>
      <c r="J1076" s="353">
        <v>52.2593</v>
      </c>
      <c r="K1076" s="357">
        <f t="shared" si="50"/>
        <v>27.689234260696182</v>
      </c>
      <c r="L1076" s="477">
        <v>60</v>
      </c>
      <c r="M1076" s="477">
        <f t="shared" si="48"/>
        <v>24.117</v>
      </c>
      <c r="N1076" s="344">
        <f ca="1" t="shared" si="49"/>
        <v>27</v>
      </c>
      <c r="O1076" s="33">
        <v>522.535</v>
      </c>
      <c r="P1076" s="340" t="s">
        <v>604</v>
      </c>
    </row>
    <row r="1077" spans="2:16" ht="39.75" customHeight="1">
      <c r="B1077" s="31">
        <v>43745</v>
      </c>
      <c r="C1077" s="341" t="s">
        <v>3021</v>
      </c>
      <c r="D1077" s="2" t="s">
        <v>3077</v>
      </c>
      <c r="E1077" s="26" t="s">
        <v>3075</v>
      </c>
      <c r="F1077" s="17" t="s">
        <v>3078</v>
      </c>
      <c r="G1077" s="2" t="s">
        <v>3024</v>
      </c>
      <c r="H1077" s="2" t="s">
        <v>3025</v>
      </c>
      <c r="I1077" s="35">
        <v>1447.02</v>
      </c>
      <c r="J1077" s="353">
        <v>52.2593</v>
      </c>
      <c r="K1077" s="357">
        <f t="shared" si="50"/>
        <v>27.689234260696182</v>
      </c>
      <c r="L1077" s="477">
        <v>60</v>
      </c>
      <c r="M1077" s="477">
        <f t="shared" si="48"/>
        <v>24.117</v>
      </c>
      <c r="N1077" s="344">
        <f ca="1" t="shared" si="49"/>
        <v>27</v>
      </c>
      <c r="O1077" s="33">
        <v>522.535</v>
      </c>
      <c r="P1077" s="340" t="s">
        <v>604</v>
      </c>
    </row>
    <row r="1078" spans="2:16" ht="39.75" customHeight="1">
      <c r="B1078" s="31">
        <v>43745</v>
      </c>
      <c r="C1078" s="341" t="s">
        <v>3021</v>
      </c>
      <c r="D1078" s="2">
        <v>31211</v>
      </c>
      <c r="E1078" s="26" t="s">
        <v>3075</v>
      </c>
      <c r="F1078" s="17" t="s">
        <v>3079</v>
      </c>
      <c r="G1078" s="2" t="s">
        <v>3024</v>
      </c>
      <c r="H1078" s="2" t="s">
        <v>3025</v>
      </c>
      <c r="I1078" s="35">
        <v>1447.02</v>
      </c>
      <c r="J1078" s="353">
        <v>52.2593</v>
      </c>
      <c r="K1078" s="357">
        <f t="shared" si="50"/>
        <v>27.689234260696182</v>
      </c>
      <c r="L1078" s="477">
        <v>60</v>
      </c>
      <c r="M1078" s="477">
        <f t="shared" si="48"/>
        <v>24.117</v>
      </c>
      <c r="N1078" s="344">
        <f ca="1" t="shared" si="49"/>
        <v>27</v>
      </c>
      <c r="O1078" s="33">
        <v>522.535</v>
      </c>
      <c r="P1078" s="340" t="s">
        <v>604</v>
      </c>
    </row>
    <row r="1079" spans="2:16" ht="39.75" customHeight="1">
      <c r="B1079" s="31">
        <v>43745</v>
      </c>
      <c r="C1079" s="341" t="s">
        <v>3021</v>
      </c>
      <c r="D1079" s="2" t="s">
        <v>3080</v>
      </c>
      <c r="E1079" s="26" t="s">
        <v>3075</v>
      </c>
      <c r="F1079" s="17" t="s">
        <v>3081</v>
      </c>
      <c r="G1079" s="2" t="s">
        <v>3024</v>
      </c>
      <c r="H1079" s="2" t="s">
        <v>3025</v>
      </c>
      <c r="I1079" s="35">
        <v>1447.02</v>
      </c>
      <c r="J1079" s="353">
        <v>52.2593</v>
      </c>
      <c r="K1079" s="357">
        <f t="shared" si="50"/>
        <v>27.689234260696182</v>
      </c>
      <c r="L1079" s="477">
        <v>60</v>
      </c>
      <c r="M1079" s="477">
        <f t="shared" si="48"/>
        <v>24.117</v>
      </c>
      <c r="N1079" s="344">
        <f ca="1" t="shared" si="49"/>
        <v>27</v>
      </c>
      <c r="O1079" s="33">
        <v>522.535</v>
      </c>
      <c r="P1079" s="340" t="s">
        <v>604</v>
      </c>
    </row>
    <row r="1080" spans="2:16" ht="39.75" customHeight="1">
      <c r="B1080" s="31">
        <v>43745</v>
      </c>
      <c r="C1080" s="341" t="s">
        <v>3021</v>
      </c>
      <c r="D1080" s="2" t="s">
        <v>3082</v>
      </c>
      <c r="E1080" s="26" t="s">
        <v>3075</v>
      </c>
      <c r="F1080" s="17" t="s">
        <v>3083</v>
      </c>
      <c r="G1080" s="2" t="s">
        <v>3024</v>
      </c>
      <c r="H1080" s="2" t="s">
        <v>3025</v>
      </c>
      <c r="I1080" s="35">
        <v>1447.02</v>
      </c>
      <c r="J1080" s="353">
        <v>52.2593</v>
      </c>
      <c r="K1080" s="357">
        <f t="shared" si="50"/>
        <v>27.689234260696182</v>
      </c>
      <c r="L1080" s="477">
        <v>60</v>
      </c>
      <c r="M1080" s="477">
        <f t="shared" si="48"/>
        <v>24.117</v>
      </c>
      <c r="N1080" s="344">
        <f ca="1" t="shared" si="49"/>
        <v>27</v>
      </c>
      <c r="O1080" s="33">
        <v>522.535</v>
      </c>
      <c r="P1080" s="340" t="s">
        <v>604</v>
      </c>
    </row>
    <row r="1081" spans="2:16" ht="39.75" customHeight="1">
      <c r="B1081" s="31">
        <v>43745</v>
      </c>
      <c r="C1081" s="341" t="s">
        <v>3021</v>
      </c>
      <c r="D1081" s="2" t="s">
        <v>3084</v>
      </c>
      <c r="E1081" s="26" t="s">
        <v>3075</v>
      </c>
      <c r="F1081" s="17" t="s">
        <v>3085</v>
      </c>
      <c r="G1081" s="2" t="s">
        <v>3024</v>
      </c>
      <c r="H1081" s="2" t="s">
        <v>3025</v>
      </c>
      <c r="I1081" s="35">
        <v>1447.02</v>
      </c>
      <c r="J1081" s="353">
        <v>52.2593</v>
      </c>
      <c r="K1081" s="357">
        <f t="shared" si="50"/>
        <v>27.689234260696182</v>
      </c>
      <c r="L1081" s="477">
        <v>60</v>
      </c>
      <c r="M1081" s="477">
        <f t="shared" si="48"/>
        <v>24.117</v>
      </c>
      <c r="N1081" s="344">
        <f ca="1" t="shared" si="49"/>
        <v>27</v>
      </c>
      <c r="O1081" s="33">
        <v>522.535</v>
      </c>
      <c r="P1081" s="340" t="s">
        <v>604</v>
      </c>
    </row>
    <row r="1082" spans="2:16" ht="39.75" customHeight="1">
      <c r="B1082" s="31">
        <v>43745</v>
      </c>
      <c r="C1082" s="341" t="s">
        <v>3021</v>
      </c>
      <c r="D1082" s="2" t="s">
        <v>3086</v>
      </c>
      <c r="E1082" s="26" t="s">
        <v>3075</v>
      </c>
      <c r="F1082" s="17" t="s">
        <v>3087</v>
      </c>
      <c r="G1082" s="2" t="s">
        <v>3024</v>
      </c>
      <c r="H1082" s="2" t="s">
        <v>3025</v>
      </c>
      <c r="I1082" s="35">
        <v>1447.02</v>
      </c>
      <c r="J1082" s="353">
        <v>52.2593</v>
      </c>
      <c r="K1082" s="357">
        <f t="shared" si="50"/>
        <v>27.689234260696182</v>
      </c>
      <c r="L1082" s="477">
        <v>60</v>
      </c>
      <c r="M1082" s="477">
        <f t="shared" si="48"/>
        <v>24.117</v>
      </c>
      <c r="N1082" s="344">
        <f ca="1" t="shared" si="49"/>
        <v>27</v>
      </c>
      <c r="O1082" s="33">
        <v>522.535</v>
      </c>
      <c r="P1082" s="340" t="s">
        <v>604</v>
      </c>
    </row>
    <row r="1083" spans="2:16" ht="39.75" customHeight="1">
      <c r="B1083" s="31">
        <v>43745</v>
      </c>
      <c r="C1083" s="341" t="s">
        <v>3021</v>
      </c>
      <c r="D1083" s="2" t="s">
        <v>3088</v>
      </c>
      <c r="E1083" s="26" t="s">
        <v>3075</v>
      </c>
      <c r="F1083" s="17" t="s">
        <v>3089</v>
      </c>
      <c r="G1083" s="2" t="s">
        <v>3024</v>
      </c>
      <c r="H1083" s="2" t="s">
        <v>3025</v>
      </c>
      <c r="I1083" s="35">
        <v>1447.02</v>
      </c>
      <c r="J1083" s="353">
        <v>52.2593</v>
      </c>
      <c r="K1083" s="357">
        <f t="shared" si="50"/>
        <v>27.689234260696182</v>
      </c>
      <c r="L1083" s="477">
        <v>60</v>
      </c>
      <c r="M1083" s="477">
        <f t="shared" si="48"/>
        <v>24.117</v>
      </c>
      <c r="N1083" s="344">
        <f ca="1" t="shared" si="49"/>
        <v>27</v>
      </c>
      <c r="O1083" s="33">
        <v>522.535</v>
      </c>
      <c r="P1083" s="340" t="s">
        <v>604</v>
      </c>
    </row>
    <row r="1084" spans="2:16" ht="46.5" customHeight="1">
      <c r="B1084" s="31">
        <v>43840</v>
      </c>
      <c r="C1084" s="351" t="s">
        <v>3515</v>
      </c>
      <c r="D1084" s="2" t="s">
        <v>3317</v>
      </c>
      <c r="E1084" s="26" t="s">
        <v>3282</v>
      </c>
      <c r="F1084" s="2" t="s">
        <v>42</v>
      </c>
      <c r="G1084" s="2" t="s">
        <v>3696</v>
      </c>
      <c r="H1084" s="361" t="s">
        <v>3281</v>
      </c>
      <c r="I1084" s="35">
        <v>14034.650000000001</v>
      </c>
      <c r="J1084" s="353">
        <v>52.2593</v>
      </c>
      <c r="K1084" s="357">
        <f t="shared" si="50"/>
        <v>268.5579408832495</v>
      </c>
      <c r="L1084" s="477">
        <v>60</v>
      </c>
      <c r="M1084" s="477">
        <f t="shared" si="48"/>
        <v>233.91083333333336</v>
      </c>
      <c r="N1084" s="344">
        <f ca="1" t="shared" si="49"/>
        <v>24</v>
      </c>
      <c r="O1084" s="33">
        <v>6237.622222222222</v>
      </c>
      <c r="P1084" s="340" t="s">
        <v>716</v>
      </c>
    </row>
    <row r="1085" spans="2:16" ht="46.5" customHeight="1">
      <c r="B1085" s="31">
        <v>43840</v>
      </c>
      <c r="C1085" s="341" t="s">
        <v>3280</v>
      </c>
      <c r="D1085" s="2" t="s">
        <v>3318</v>
      </c>
      <c r="E1085" s="360" t="s">
        <v>3283</v>
      </c>
      <c r="F1085" s="2" t="s">
        <v>3284</v>
      </c>
      <c r="G1085" s="2" t="s">
        <v>3696</v>
      </c>
      <c r="H1085" s="361" t="s">
        <v>3281</v>
      </c>
      <c r="I1085" s="35">
        <v>16596.77</v>
      </c>
      <c r="J1085" s="353">
        <v>52.2593</v>
      </c>
      <c r="K1085" s="357">
        <f t="shared" si="50"/>
        <v>317.58500400885583</v>
      </c>
      <c r="L1085" s="477">
        <v>60</v>
      </c>
      <c r="M1085" s="477">
        <f t="shared" si="48"/>
        <v>276.61283333333336</v>
      </c>
      <c r="N1085" s="344">
        <f ca="1" t="shared" si="49"/>
        <v>24</v>
      </c>
      <c r="O1085" s="33">
        <v>7376.342222222222</v>
      </c>
      <c r="P1085" s="340" t="s">
        <v>716</v>
      </c>
    </row>
    <row r="1086" spans="2:16" ht="46.5" customHeight="1">
      <c r="B1086" s="31">
        <v>43840</v>
      </c>
      <c r="C1086" s="341" t="s">
        <v>3280</v>
      </c>
      <c r="D1086" s="2" t="s">
        <v>3319</v>
      </c>
      <c r="E1086" s="360" t="s">
        <v>845</v>
      </c>
      <c r="F1086" s="2" t="s">
        <v>3285</v>
      </c>
      <c r="G1086" s="2" t="s">
        <v>3696</v>
      </c>
      <c r="H1086" s="361" t="s">
        <v>3281</v>
      </c>
      <c r="I1086" s="35">
        <v>4008.0299999999997</v>
      </c>
      <c r="J1086" s="353">
        <v>52.2593</v>
      </c>
      <c r="K1086" s="357">
        <f t="shared" si="50"/>
        <v>76.69505714772298</v>
      </c>
      <c r="L1086" s="477">
        <v>60</v>
      </c>
      <c r="M1086" s="477">
        <f t="shared" si="48"/>
        <v>66.8005</v>
      </c>
      <c r="N1086" s="344">
        <f ca="1" t="shared" si="49"/>
        <v>24</v>
      </c>
      <c r="O1086" s="33">
        <v>3340.0249999999996</v>
      </c>
      <c r="P1086" s="340" t="s">
        <v>716</v>
      </c>
    </row>
    <row r="1087" spans="2:16" ht="46.5" customHeight="1">
      <c r="B1087" s="31">
        <v>43858</v>
      </c>
      <c r="C1087" s="341" t="s">
        <v>3289</v>
      </c>
      <c r="D1087" s="2" t="s">
        <v>3320</v>
      </c>
      <c r="E1087" s="26" t="s">
        <v>3697</v>
      </c>
      <c r="F1087" s="2" t="s">
        <v>3286</v>
      </c>
      <c r="G1087" s="2" t="s">
        <v>3696</v>
      </c>
      <c r="H1087" s="361" t="s">
        <v>3281</v>
      </c>
      <c r="I1087" s="35">
        <v>4602</v>
      </c>
      <c r="J1087" s="353">
        <v>52.8524</v>
      </c>
      <c r="K1087" s="357">
        <f t="shared" si="50"/>
        <v>87.07267787271722</v>
      </c>
      <c r="L1087" s="477">
        <v>60</v>
      </c>
      <c r="M1087" s="477">
        <f t="shared" si="48"/>
        <v>76.7</v>
      </c>
      <c r="N1087" s="344">
        <f ca="1" t="shared" si="49"/>
        <v>24</v>
      </c>
      <c r="O1087" s="33">
        <v>3873.35</v>
      </c>
      <c r="P1087" s="340" t="s">
        <v>828</v>
      </c>
    </row>
    <row r="1088" spans="2:16" ht="46.5" customHeight="1">
      <c r="B1088" s="31">
        <v>43858</v>
      </c>
      <c r="C1088" s="341" t="s">
        <v>3289</v>
      </c>
      <c r="D1088" s="2" t="s">
        <v>3321</v>
      </c>
      <c r="E1088" s="26" t="s">
        <v>3698</v>
      </c>
      <c r="F1088" s="2" t="s">
        <v>3287</v>
      </c>
      <c r="G1088" s="2" t="s">
        <v>3696</v>
      </c>
      <c r="H1088" s="361" t="s">
        <v>3281</v>
      </c>
      <c r="I1088" s="35">
        <v>5550</v>
      </c>
      <c r="J1088" s="353">
        <v>52.8524</v>
      </c>
      <c r="K1088" s="357">
        <f t="shared" si="50"/>
        <v>105.00942246709704</v>
      </c>
      <c r="L1088" s="477">
        <v>60</v>
      </c>
      <c r="M1088" s="477">
        <f t="shared" si="48"/>
        <v>92.5</v>
      </c>
      <c r="N1088" s="344">
        <f ca="1" t="shared" si="49"/>
        <v>24</v>
      </c>
      <c r="O1088" s="33">
        <v>4671.25</v>
      </c>
      <c r="P1088" s="340" t="s">
        <v>828</v>
      </c>
    </row>
    <row r="1089" spans="2:16" ht="46.5" customHeight="1">
      <c r="B1089" s="31">
        <v>43858</v>
      </c>
      <c r="C1089" s="341" t="s">
        <v>3289</v>
      </c>
      <c r="D1089" s="2" t="s">
        <v>3322</v>
      </c>
      <c r="E1089" s="26" t="s">
        <v>3699</v>
      </c>
      <c r="F1089" s="2" t="s">
        <v>3288</v>
      </c>
      <c r="G1089" s="2" t="s">
        <v>3696</v>
      </c>
      <c r="H1089" s="361" t="s">
        <v>3281</v>
      </c>
      <c r="I1089" s="35">
        <v>5550</v>
      </c>
      <c r="J1089" s="353">
        <v>52.8524</v>
      </c>
      <c r="K1089" s="357">
        <f t="shared" si="50"/>
        <v>105.00942246709704</v>
      </c>
      <c r="L1089" s="477">
        <v>60</v>
      </c>
      <c r="M1089" s="477">
        <f t="shared" si="48"/>
        <v>92.5</v>
      </c>
      <c r="N1089" s="344">
        <f ca="1" t="shared" si="49"/>
        <v>24</v>
      </c>
      <c r="O1089" s="33">
        <v>4671.25</v>
      </c>
      <c r="P1089" s="340" t="s">
        <v>828</v>
      </c>
    </row>
    <row r="1090" spans="2:16" ht="46.5" customHeight="1">
      <c r="B1090" s="31">
        <v>43887</v>
      </c>
      <c r="C1090" s="341" t="s">
        <v>3306</v>
      </c>
      <c r="D1090" s="2" t="s">
        <v>3323</v>
      </c>
      <c r="E1090" s="26" t="s">
        <v>3294</v>
      </c>
      <c r="F1090" s="2" t="s">
        <v>42</v>
      </c>
      <c r="G1090" s="2" t="s">
        <v>3696</v>
      </c>
      <c r="H1090" s="361" t="s">
        <v>3281</v>
      </c>
      <c r="I1090" s="35">
        <v>3681.6</v>
      </c>
      <c r="J1090" s="353">
        <v>53.3888</v>
      </c>
      <c r="K1090" s="357">
        <f t="shared" si="50"/>
        <v>68.9582833852793</v>
      </c>
      <c r="L1090" s="477">
        <v>60</v>
      </c>
      <c r="M1090" s="477">
        <f aca="true" t="shared" si="51" ref="M1090:M1109">+I1090/L1090</f>
        <v>61.36</v>
      </c>
      <c r="N1090" s="344">
        <f ca="1" t="shared" si="49"/>
        <v>23</v>
      </c>
      <c r="O1090" s="33">
        <v>3129.3599999999997</v>
      </c>
      <c r="P1090" s="340" t="s">
        <v>828</v>
      </c>
    </row>
    <row r="1091" spans="2:16" ht="46.5" customHeight="1">
      <c r="B1091" s="31">
        <v>43887</v>
      </c>
      <c r="C1091" s="341" t="s">
        <v>3306</v>
      </c>
      <c r="D1091" s="2" t="s">
        <v>3324</v>
      </c>
      <c r="E1091" s="26" t="s">
        <v>3294</v>
      </c>
      <c r="F1091" s="2" t="s">
        <v>42</v>
      </c>
      <c r="G1091" s="2" t="s">
        <v>3696</v>
      </c>
      <c r="H1091" s="361" t="s">
        <v>3281</v>
      </c>
      <c r="I1091" s="35">
        <v>3681.6</v>
      </c>
      <c r="J1091" s="353">
        <v>53.3888</v>
      </c>
      <c r="K1091" s="357">
        <f t="shared" si="50"/>
        <v>68.9582833852793</v>
      </c>
      <c r="L1091" s="477">
        <v>60</v>
      </c>
      <c r="M1091" s="477">
        <f t="shared" si="51"/>
        <v>61.36</v>
      </c>
      <c r="N1091" s="344">
        <f ca="1" t="shared" si="49"/>
        <v>23</v>
      </c>
      <c r="O1091" s="33">
        <v>3129.3599999999997</v>
      </c>
      <c r="P1091" s="340" t="s">
        <v>828</v>
      </c>
    </row>
    <row r="1092" spans="2:16" ht="46.5" customHeight="1">
      <c r="B1092" s="31">
        <v>43887</v>
      </c>
      <c r="C1092" s="341" t="s">
        <v>3306</v>
      </c>
      <c r="D1092" s="2" t="s">
        <v>3325</v>
      </c>
      <c r="E1092" s="26" t="s">
        <v>3296</v>
      </c>
      <c r="F1092" s="2" t="s">
        <v>3297</v>
      </c>
      <c r="G1092" s="2" t="s">
        <v>3696</v>
      </c>
      <c r="H1092" s="361" t="s">
        <v>3281</v>
      </c>
      <c r="I1092" s="35">
        <v>49088</v>
      </c>
      <c r="J1092" s="353">
        <v>53.3888</v>
      </c>
      <c r="K1092" s="357">
        <f t="shared" si="50"/>
        <v>919.4437784703907</v>
      </c>
      <c r="L1092" s="477">
        <v>60</v>
      </c>
      <c r="M1092" s="477">
        <f t="shared" si="51"/>
        <v>818.1333333333333</v>
      </c>
      <c r="N1092" s="344">
        <f ca="1" t="shared" si="49"/>
        <v>23</v>
      </c>
      <c r="O1092" s="33">
        <v>41724.8</v>
      </c>
      <c r="P1092" s="340" t="s">
        <v>828</v>
      </c>
    </row>
    <row r="1093" spans="2:16" ht="46.5" customHeight="1">
      <c r="B1093" s="31">
        <v>43887</v>
      </c>
      <c r="C1093" s="341" t="s">
        <v>3306</v>
      </c>
      <c r="D1093" s="2" t="s">
        <v>3326</v>
      </c>
      <c r="E1093" s="26" t="s">
        <v>3290</v>
      </c>
      <c r="F1093" s="2" t="s">
        <v>3292</v>
      </c>
      <c r="G1093" s="2" t="s">
        <v>3696</v>
      </c>
      <c r="H1093" s="361" t="s">
        <v>3281</v>
      </c>
      <c r="I1093" s="35">
        <v>28777.84</v>
      </c>
      <c r="J1093" s="353">
        <v>53.3888</v>
      </c>
      <c r="K1093" s="357">
        <f t="shared" si="50"/>
        <v>539.0239151282666</v>
      </c>
      <c r="L1093" s="477">
        <v>60</v>
      </c>
      <c r="M1093" s="477">
        <f t="shared" si="51"/>
        <v>479.6306666666667</v>
      </c>
      <c r="N1093" s="344">
        <f ca="1" t="shared" si="49"/>
        <v>23</v>
      </c>
      <c r="O1093" s="33">
        <v>24461.164</v>
      </c>
      <c r="P1093" s="340" t="s">
        <v>828</v>
      </c>
    </row>
    <row r="1094" spans="2:16" ht="46.5" customHeight="1">
      <c r="B1094" s="31">
        <v>43887</v>
      </c>
      <c r="C1094" s="341" t="s">
        <v>3306</v>
      </c>
      <c r="D1094" s="2" t="s">
        <v>3327</v>
      </c>
      <c r="E1094" s="26" t="s">
        <v>3290</v>
      </c>
      <c r="F1094" s="2" t="s">
        <v>3293</v>
      </c>
      <c r="G1094" s="2" t="s">
        <v>3696</v>
      </c>
      <c r="H1094" s="361" t="s">
        <v>3281</v>
      </c>
      <c r="I1094" s="35">
        <v>28777.84</v>
      </c>
      <c r="J1094" s="353">
        <v>53.3888</v>
      </c>
      <c r="K1094" s="357">
        <f t="shared" si="50"/>
        <v>539.0239151282666</v>
      </c>
      <c r="L1094" s="477">
        <v>60</v>
      </c>
      <c r="M1094" s="477">
        <f t="shared" si="51"/>
        <v>479.6306666666667</v>
      </c>
      <c r="N1094" s="344">
        <f ca="1" t="shared" si="49"/>
        <v>23</v>
      </c>
      <c r="O1094" s="33">
        <v>24461.164</v>
      </c>
      <c r="P1094" s="340" t="s">
        <v>828</v>
      </c>
    </row>
    <row r="1095" spans="2:16" ht="46.5" customHeight="1">
      <c r="B1095" s="31">
        <v>43887</v>
      </c>
      <c r="C1095" s="341" t="s">
        <v>3306</v>
      </c>
      <c r="D1095" s="2" t="s">
        <v>3328</v>
      </c>
      <c r="E1095" s="360" t="s">
        <v>3700</v>
      </c>
      <c r="F1095" s="2" t="s">
        <v>42</v>
      </c>
      <c r="G1095" s="2" t="s">
        <v>3696</v>
      </c>
      <c r="H1095" s="361" t="s">
        <v>3281</v>
      </c>
      <c r="I1095" s="35">
        <v>1840.8</v>
      </c>
      <c r="J1095" s="353">
        <v>53.3888</v>
      </c>
      <c r="K1095" s="357">
        <f t="shared" si="50"/>
        <v>34.47914169263965</v>
      </c>
      <c r="L1095" s="477">
        <v>60</v>
      </c>
      <c r="M1095" s="477">
        <f t="shared" si="51"/>
        <v>30.68</v>
      </c>
      <c r="N1095" s="344">
        <f ca="1" t="shared" si="49"/>
        <v>23</v>
      </c>
      <c r="O1095" s="33">
        <v>1564.6799999999998</v>
      </c>
      <c r="P1095" s="340" t="s">
        <v>828</v>
      </c>
    </row>
    <row r="1096" spans="2:16" ht="46.5" customHeight="1">
      <c r="B1096" s="31">
        <v>43887</v>
      </c>
      <c r="C1096" s="341" t="s">
        <v>3306</v>
      </c>
      <c r="D1096" s="2" t="s">
        <v>3329</v>
      </c>
      <c r="E1096" s="360" t="s">
        <v>3701</v>
      </c>
      <c r="F1096" s="2" t="s">
        <v>42</v>
      </c>
      <c r="G1096" s="2" t="s">
        <v>3696</v>
      </c>
      <c r="H1096" s="361" t="s">
        <v>3281</v>
      </c>
      <c r="I1096" s="35">
        <v>7316</v>
      </c>
      <c r="J1096" s="353">
        <v>53.3888</v>
      </c>
      <c r="K1096" s="357">
        <f t="shared" si="50"/>
        <v>137.03248621433707</v>
      </c>
      <c r="L1096" s="477">
        <v>60</v>
      </c>
      <c r="M1096" s="477">
        <f t="shared" si="51"/>
        <v>121.93333333333334</v>
      </c>
      <c r="N1096" s="344">
        <f aca="true" ca="1" t="shared" si="52" ref="N1096:N1109">IF(B1096&lt;&gt;0,(ROUND((NOW()-B1096)/30,0)),0)</f>
        <v>23</v>
      </c>
      <c r="O1096" s="33">
        <v>6218.6</v>
      </c>
      <c r="P1096" s="340" t="s">
        <v>828</v>
      </c>
    </row>
    <row r="1097" spans="2:16" ht="46.5" customHeight="1">
      <c r="B1097" s="31">
        <v>43887</v>
      </c>
      <c r="C1097" s="341" t="s">
        <v>3306</v>
      </c>
      <c r="D1097" s="2" t="s">
        <v>3330</v>
      </c>
      <c r="E1097" s="360" t="s">
        <v>3702</v>
      </c>
      <c r="F1097" s="2" t="s">
        <v>42</v>
      </c>
      <c r="G1097" s="2" t="s">
        <v>3696</v>
      </c>
      <c r="H1097" s="361" t="s">
        <v>3281</v>
      </c>
      <c r="I1097" s="35">
        <v>6626.88</v>
      </c>
      <c r="J1097" s="353">
        <v>53.3888</v>
      </c>
      <c r="K1097" s="357">
        <f aca="true" t="shared" si="53" ref="K1097:K1109">+I1097/J1097</f>
        <v>124.12491009350275</v>
      </c>
      <c r="L1097" s="477">
        <v>60</v>
      </c>
      <c r="M1097" s="477">
        <f t="shared" si="51"/>
        <v>110.44800000000001</v>
      </c>
      <c r="N1097" s="344">
        <f ca="1" t="shared" si="52"/>
        <v>23</v>
      </c>
      <c r="O1097" s="33">
        <v>5632.848</v>
      </c>
      <c r="P1097" s="340" t="s">
        <v>828</v>
      </c>
    </row>
    <row r="1098" spans="2:16" ht="46.5" customHeight="1">
      <c r="B1098" s="31">
        <v>43887</v>
      </c>
      <c r="C1098" s="341" t="s">
        <v>3306</v>
      </c>
      <c r="D1098" s="2" t="s">
        <v>3331</v>
      </c>
      <c r="E1098" s="360" t="s">
        <v>3295</v>
      </c>
      <c r="F1098" s="2" t="s">
        <v>42</v>
      </c>
      <c r="G1098" s="2" t="s">
        <v>3696</v>
      </c>
      <c r="H1098" s="361" t="s">
        <v>3281</v>
      </c>
      <c r="I1098" s="35">
        <v>14726.4</v>
      </c>
      <c r="J1098" s="353">
        <v>53.3888</v>
      </c>
      <c r="K1098" s="357">
        <f t="shared" si="53"/>
        <v>275.8331335411172</v>
      </c>
      <c r="L1098" s="477">
        <v>60</v>
      </c>
      <c r="M1098" s="477">
        <f t="shared" si="51"/>
        <v>245.44</v>
      </c>
      <c r="N1098" s="344">
        <f ca="1" t="shared" si="52"/>
        <v>23</v>
      </c>
      <c r="O1098" s="33">
        <v>12517.439999999999</v>
      </c>
      <c r="P1098" s="340" t="s">
        <v>828</v>
      </c>
    </row>
    <row r="1099" spans="2:16" ht="46.5" customHeight="1">
      <c r="B1099" s="31">
        <v>43887</v>
      </c>
      <c r="C1099" s="341" t="s">
        <v>3306</v>
      </c>
      <c r="D1099" s="2" t="s">
        <v>3332</v>
      </c>
      <c r="E1099" s="360" t="s">
        <v>3295</v>
      </c>
      <c r="F1099" s="2" t="s">
        <v>42</v>
      </c>
      <c r="G1099" s="2" t="s">
        <v>3696</v>
      </c>
      <c r="H1099" s="361" t="s">
        <v>3281</v>
      </c>
      <c r="I1099" s="35">
        <v>14726.4</v>
      </c>
      <c r="J1099" s="353">
        <v>53.3888</v>
      </c>
      <c r="K1099" s="357">
        <f t="shared" si="53"/>
        <v>275.8331335411172</v>
      </c>
      <c r="L1099" s="477">
        <v>60</v>
      </c>
      <c r="M1099" s="477">
        <f t="shared" si="51"/>
        <v>245.44</v>
      </c>
      <c r="N1099" s="344">
        <f ca="1" t="shared" si="52"/>
        <v>23</v>
      </c>
      <c r="O1099" s="33">
        <v>12517.439999999999</v>
      </c>
      <c r="P1099" s="340" t="s">
        <v>828</v>
      </c>
    </row>
    <row r="1100" spans="2:16" ht="46.5" customHeight="1">
      <c r="B1100" s="31">
        <v>43887</v>
      </c>
      <c r="C1100" s="341" t="s">
        <v>3306</v>
      </c>
      <c r="D1100" s="2" t="s">
        <v>3333</v>
      </c>
      <c r="E1100" s="360" t="s">
        <v>3703</v>
      </c>
      <c r="F1100" s="2" t="s">
        <v>42</v>
      </c>
      <c r="G1100" s="2" t="s">
        <v>3696</v>
      </c>
      <c r="H1100" s="361" t="s">
        <v>3281</v>
      </c>
      <c r="I1100" s="35">
        <v>7363.2</v>
      </c>
      <c r="J1100" s="353">
        <v>53.3888</v>
      </c>
      <c r="K1100" s="357">
        <f t="shared" si="53"/>
        <v>137.9165667705586</v>
      </c>
      <c r="L1100" s="477">
        <v>60</v>
      </c>
      <c r="M1100" s="477">
        <f t="shared" si="51"/>
        <v>122.72</v>
      </c>
      <c r="N1100" s="344">
        <f ca="1" t="shared" si="52"/>
        <v>23</v>
      </c>
      <c r="O1100" s="33">
        <v>6258.719999999999</v>
      </c>
      <c r="P1100" s="340" t="s">
        <v>828</v>
      </c>
    </row>
    <row r="1101" spans="2:16" ht="46.5" customHeight="1">
      <c r="B1101" s="31">
        <v>43887</v>
      </c>
      <c r="C1101" s="341" t="s">
        <v>3306</v>
      </c>
      <c r="D1101" s="2" t="s">
        <v>3334</v>
      </c>
      <c r="E1101" s="360" t="s">
        <v>3298</v>
      </c>
      <c r="F1101" s="2">
        <v>2019090958</v>
      </c>
      <c r="G1101" s="2" t="s">
        <v>3696</v>
      </c>
      <c r="H1101" s="361" t="s">
        <v>3281</v>
      </c>
      <c r="I1101" s="35">
        <v>92040</v>
      </c>
      <c r="J1101" s="353">
        <v>53.3888</v>
      </c>
      <c r="K1101" s="357">
        <f t="shared" si="53"/>
        <v>1723.9570846319825</v>
      </c>
      <c r="L1101" s="477">
        <v>60</v>
      </c>
      <c r="M1101" s="477">
        <f t="shared" si="51"/>
        <v>1534</v>
      </c>
      <c r="N1101" s="344">
        <f ca="1" t="shared" si="52"/>
        <v>23</v>
      </c>
      <c r="O1101" s="33">
        <v>78234</v>
      </c>
      <c r="P1101" s="340" t="s">
        <v>828</v>
      </c>
    </row>
    <row r="1102" spans="2:16" ht="46.5" customHeight="1">
      <c r="B1102" s="31">
        <v>43983</v>
      </c>
      <c r="C1102" s="341" t="s">
        <v>3350</v>
      </c>
      <c r="D1102" s="2" t="s">
        <v>3335</v>
      </c>
      <c r="E1102" s="360" t="s">
        <v>3704</v>
      </c>
      <c r="F1102" s="2" t="s">
        <v>3310</v>
      </c>
      <c r="G1102" s="2" t="s">
        <v>3696</v>
      </c>
      <c r="H1102" s="361" t="s">
        <v>3281</v>
      </c>
      <c r="I1102" s="35">
        <v>849.6</v>
      </c>
      <c r="J1102" s="353">
        <v>57.1269</v>
      </c>
      <c r="K1102" s="357">
        <f t="shared" si="53"/>
        <v>14.872153048738861</v>
      </c>
      <c r="L1102" s="477">
        <v>60</v>
      </c>
      <c r="M1102" s="477">
        <f t="shared" si="51"/>
        <v>14.16</v>
      </c>
      <c r="N1102" s="344">
        <f ca="1" t="shared" si="52"/>
        <v>19</v>
      </c>
      <c r="O1102" s="33">
        <v>743.4</v>
      </c>
      <c r="P1102" s="340" t="s">
        <v>3316</v>
      </c>
    </row>
    <row r="1103" spans="2:16" ht="46.5" customHeight="1">
      <c r="B1103" s="31">
        <v>43983</v>
      </c>
      <c r="C1103" s="341" t="s">
        <v>3350</v>
      </c>
      <c r="D1103" s="2" t="s">
        <v>3336</v>
      </c>
      <c r="E1103" s="360" t="s">
        <v>3705</v>
      </c>
      <c r="F1103" s="2" t="s">
        <v>3311</v>
      </c>
      <c r="G1103" s="2" t="s">
        <v>3696</v>
      </c>
      <c r="H1103" s="361" t="s">
        <v>3281</v>
      </c>
      <c r="I1103" s="35">
        <v>9109.6</v>
      </c>
      <c r="J1103" s="353">
        <v>57.1269</v>
      </c>
      <c r="K1103" s="357">
        <f t="shared" si="53"/>
        <v>159.4625299114778</v>
      </c>
      <c r="L1103" s="477">
        <v>60</v>
      </c>
      <c r="M1103" s="477">
        <f t="shared" si="51"/>
        <v>151.82666666666668</v>
      </c>
      <c r="N1103" s="344">
        <f ca="1" t="shared" si="52"/>
        <v>19</v>
      </c>
      <c r="O1103" s="33">
        <v>7970.900000000001</v>
      </c>
      <c r="P1103" s="340" t="s">
        <v>3316</v>
      </c>
    </row>
    <row r="1104" spans="2:16" ht="46.5" customHeight="1">
      <c r="B1104" s="31">
        <v>44004</v>
      </c>
      <c r="C1104" s="341" t="s">
        <v>3341</v>
      </c>
      <c r="D1104" s="2" t="s">
        <v>3337</v>
      </c>
      <c r="E1104" s="360" t="s">
        <v>3308</v>
      </c>
      <c r="F1104" s="2" t="s">
        <v>3312</v>
      </c>
      <c r="G1104" s="2" t="s">
        <v>3696</v>
      </c>
      <c r="H1104" s="361" t="s">
        <v>3281</v>
      </c>
      <c r="I1104" s="35">
        <v>81862.5</v>
      </c>
      <c r="J1104" s="353">
        <v>58.1425</v>
      </c>
      <c r="K1104" s="357">
        <f t="shared" si="53"/>
        <v>1407.9631938771124</v>
      </c>
      <c r="L1104" s="477">
        <v>60</v>
      </c>
      <c r="M1104" s="477">
        <f t="shared" si="51"/>
        <v>1364.375</v>
      </c>
      <c r="N1104" s="344">
        <f ca="1" t="shared" si="52"/>
        <v>19</v>
      </c>
      <c r="O1104" s="33">
        <v>71629.6875</v>
      </c>
      <c r="P1104" s="340" t="s">
        <v>828</v>
      </c>
    </row>
    <row r="1105" spans="2:16" ht="46.5" customHeight="1">
      <c r="B1105" s="31">
        <v>44004</v>
      </c>
      <c r="C1105" s="341" t="s">
        <v>3341</v>
      </c>
      <c r="D1105" s="2" t="s">
        <v>3338</v>
      </c>
      <c r="E1105" s="360" t="s">
        <v>3308</v>
      </c>
      <c r="F1105" s="2" t="s">
        <v>3313</v>
      </c>
      <c r="G1105" s="2" t="s">
        <v>3696</v>
      </c>
      <c r="H1105" s="361" t="s">
        <v>3281</v>
      </c>
      <c r="I1105" s="35">
        <v>81862.5</v>
      </c>
      <c r="J1105" s="353">
        <v>58.1425</v>
      </c>
      <c r="K1105" s="357">
        <f t="shared" si="53"/>
        <v>1407.9631938771124</v>
      </c>
      <c r="L1105" s="477">
        <v>60</v>
      </c>
      <c r="M1105" s="477">
        <f t="shared" si="51"/>
        <v>1364.375</v>
      </c>
      <c r="N1105" s="344">
        <f ca="1" t="shared" si="52"/>
        <v>19</v>
      </c>
      <c r="O1105" s="33">
        <v>71629.6875</v>
      </c>
      <c r="P1105" s="340" t="s">
        <v>828</v>
      </c>
    </row>
    <row r="1106" spans="2:16" ht="46.5" customHeight="1">
      <c r="B1106" s="31">
        <v>44004</v>
      </c>
      <c r="C1106" s="341" t="s">
        <v>3341</v>
      </c>
      <c r="D1106" s="2" t="s">
        <v>3339</v>
      </c>
      <c r="E1106" s="360" t="s">
        <v>3309</v>
      </c>
      <c r="F1106" s="2" t="s">
        <v>3314</v>
      </c>
      <c r="G1106" s="2" t="s">
        <v>3696</v>
      </c>
      <c r="H1106" s="361" t="s">
        <v>3281</v>
      </c>
      <c r="I1106" s="35">
        <v>15717.6</v>
      </c>
      <c r="J1106" s="353">
        <v>58.1425</v>
      </c>
      <c r="K1106" s="357">
        <f t="shared" si="53"/>
        <v>270.32893322440555</v>
      </c>
      <c r="L1106" s="477">
        <v>60</v>
      </c>
      <c r="M1106" s="477">
        <f t="shared" si="51"/>
        <v>261.96</v>
      </c>
      <c r="N1106" s="344">
        <f ca="1" t="shared" si="52"/>
        <v>19</v>
      </c>
      <c r="O1106" s="33">
        <v>13752.900000000001</v>
      </c>
      <c r="P1106" s="340" t="s">
        <v>828</v>
      </c>
    </row>
    <row r="1107" spans="2:16" ht="46.5" customHeight="1">
      <c r="B1107" s="31">
        <v>44004</v>
      </c>
      <c r="C1107" s="341" t="s">
        <v>3341</v>
      </c>
      <c r="D1107" s="2" t="s">
        <v>3340</v>
      </c>
      <c r="E1107" s="360" t="s">
        <v>3309</v>
      </c>
      <c r="F1107" s="2" t="s">
        <v>3315</v>
      </c>
      <c r="G1107" s="2" t="s">
        <v>3696</v>
      </c>
      <c r="H1107" s="361" t="s">
        <v>3281</v>
      </c>
      <c r="I1107" s="35">
        <v>15717.6</v>
      </c>
      <c r="J1107" s="353">
        <v>58.1425</v>
      </c>
      <c r="K1107" s="357">
        <f t="shared" si="53"/>
        <v>270.32893322440555</v>
      </c>
      <c r="L1107" s="477">
        <v>60</v>
      </c>
      <c r="M1107" s="477">
        <f t="shared" si="51"/>
        <v>261.96</v>
      </c>
      <c r="N1107" s="344">
        <f ca="1" t="shared" si="52"/>
        <v>19</v>
      </c>
      <c r="O1107" s="33">
        <v>13752.900000000001</v>
      </c>
      <c r="P1107" s="340" t="s">
        <v>828</v>
      </c>
    </row>
    <row r="1108" spans="1:16" ht="39.75" customHeight="1">
      <c r="A1108" s="380"/>
      <c r="B1108" s="649">
        <v>44511</v>
      </c>
      <c r="C1108" s="616" t="s">
        <v>3840</v>
      </c>
      <c r="D1108" s="635" t="s">
        <v>3841</v>
      </c>
      <c r="E1108" s="650" t="s">
        <v>3846</v>
      </c>
      <c r="F1108" s="635" t="s">
        <v>3848</v>
      </c>
      <c r="G1108" s="635" t="s">
        <v>3883</v>
      </c>
      <c r="H1108" s="651" t="s">
        <v>437</v>
      </c>
      <c r="I1108" s="648">
        <v>2532863.37</v>
      </c>
      <c r="J1108" s="628">
        <v>56.4697</v>
      </c>
      <c r="K1108" s="639">
        <f t="shared" si="53"/>
        <v>44853.49435183824</v>
      </c>
      <c r="L1108" s="643">
        <v>60</v>
      </c>
      <c r="M1108" s="643">
        <f t="shared" si="51"/>
        <v>42214.389500000005</v>
      </c>
      <c r="N1108" s="618">
        <f ca="1" t="shared" si="52"/>
        <v>2</v>
      </c>
      <c r="O1108" s="644">
        <f>IF(OR(I1108=0,L1108=0,N1108=0),0,I1108-(M1108*N1108))</f>
        <v>2448434.591</v>
      </c>
      <c r="P1108" s="627" t="s">
        <v>3843</v>
      </c>
    </row>
    <row r="1109" spans="1:16" ht="39.75" customHeight="1">
      <c r="A1109" s="380"/>
      <c r="B1109" s="649">
        <v>44511</v>
      </c>
      <c r="C1109" s="616" t="s">
        <v>3844</v>
      </c>
      <c r="D1109" s="635" t="s">
        <v>3845</v>
      </c>
      <c r="E1109" s="650" t="s">
        <v>3847</v>
      </c>
      <c r="F1109" s="635" t="s">
        <v>3842</v>
      </c>
      <c r="G1109" s="635" t="s">
        <v>3883</v>
      </c>
      <c r="H1109" s="651" t="s">
        <v>437</v>
      </c>
      <c r="I1109" s="648">
        <v>2532863.37</v>
      </c>
      <c r="J1109" s="628">
        <v>56.4697</v>
      </c>
      <c r="K1109" s="639">
        <f t="shared" si="53"/>
        <v>44853.49435183824</v>
      </c>
      <c r="L1109" s="643">
        <v>60</v>
      </c>
      <c r="M1109" s="643">
        <f t="shared" si="51"/>
        <v>42214.389500000005</v>
      </c>
      <c r="N1109" s="618">
        <f ca="1" t="shared" si="52"/>
        <v>2</v>
      </c>
      <c r="O1109" s="644">
        <f>I1109-(M1109*N1109)</f>
        <v>2448434.591</v>
      </c>
      <c r="P1109" s="627" t="s">
        <v>3843</v>
      </c>
    </row>
    <row r="1110" spans="2:16" ht="14.25" customHeight="1">
      <c r="B1110" s="586"/>
      <c r="C1110" s="587"/>
      <c r="D1110" s="158"/>
      <c r="E1110" s="588"/>
      <c r="F1110" s="158"/>
      <c r="G1110" s="158"/>
      <c r="H1110" s="589"/>
      <c r="I1110" s="602"/>
      <c r="J1110" s="590"/>
      <c r="K1110" s="603"/>
      <c r="L1110" s="591"/>
      <c r="M1110" s="591"/>
      <c r="N1110" s="592"/>
      <c r="O1110" s="65"/>
      <c r="P1110" s="593"/>
    </row>
    <row r="1111" spans="5:15" ht="15" customHeight="1" thickBot="1">
      <c r="E1111" s="670" t="s">
        <v>335</v>
      </c>
      <c r="F1111" s="670"/>
      <c r="G1111" s="670"/>
      <c r="H1111" s="670"/>
      <c r="I1111" s="664">
        <f>SUM(I8:I1109)</f>
        <v>41370647.90032443</v>
      </c>
      <c r="J1111" s="381"/>
      <c r="K1111" s="663">
        <f>SUM(K8:K1109)</f>
        <v>990269.1801298267</v>
      </c>
      <c r="L1111" s="481"/>
      <c r="M1111" s="662">
        <f>SUM(M8:M1109)</f>
        <v>687112.6054220737</v>
      </c>
      <c r="N1111" s="382"/>
      <c r="O1111" s="661">
        <f>SUM(O8:O1109)</f>
        <v>12420016.73260034</v>
      </c>
    </row>
    <row r="1112" spans="13:15" ht="13.5" thickTop="1">
      <c r="M1112" s="490"/>
      <c r="N1112" s="15"/>
      <c r="O1112" s="489"/>
    </row>
    <row r="1115" ht="13.5" thickBot="1"/>
    <row r="1116" spans="5:7" ht="12.75">
      <c r="E1116" s="671" t="s">
        <v>39</v>
      </c>
      <c r="F1116" s="672"/>
      <c r="G1116" s="673"/>
    </row>
    <row r="1117" spans="5:7" ht="29.25" thickBot="1">
      <c r="E1117" s="537"/>
      <c r="F1117" s="540" t="s">
        <v>40</v>
      </c>
      <c r="G1117" s="541" t="s">
        <v>41</v>
      </c>
    </row>
    <row r="1118" spans="5:8" ht="15" thickBot="1">
      <c r="E1118" s="539" t="s">
        <v>616</v>
      </c>
      <c r="F1118" s="594">
        <f>SUM(I8:I66)</f>
        <v>207399.3600000001</v>
      </c>
      <c r="G1118" s="548">
        <f>SUM(K8:K66)</f>
        <v>7177.289303141177</v>
      </c>
      <c r="H1118" s="547"/>
    </row>
    <row r="1119" spans="5:8" ht="14.25">
      <c r="E1119" s="538" t="s">
        <v>621</v>
      </c>
      <c r="F1119" s="595">
        <f>SUM(I67:I188)</f>
        <v>5680100.930999985</v>
      </c>
      <c r="G1119" s="548">
        <f>SUM(K67:K188)</f>
        <v>167816.95900853665</v>
      </c>
      <c r="H1119" s="547"/>
    </row>
    <row r="1120" spans="5:8" ht="14.25">
      <c r="E1120" s="545" t="s">
        <v>622</v>
      </c>
      <c r="F1120" s="596">
        <f>SUM(I189:I198)</f>
        <v>109194.2</v>
      </c>
      <c r="G1120" s="548">
        <f>SUM(K189:K198)</f>
        <v>3335.8419526817006</v>
      </c>
      <c r="H1120" s="547"/>
    </row>
    <row r="1121" spans="5:7" ht="15" thickBot="1">
      <c r="E1121" s="545" t="s">
        <v>623</v>
      </c>
      <c r="F1121" s="597">
        <f>SUM(I199:I329)</f>
        <v>1321279.12</v>
      </c>
      <c r="G1121" s="549">
        <f>SUM(K199:K329)</f>
        <v>38644.86199100538</v>
      </c>
    </row>
    <row r="1122" spans="5:8" ht="15">
      <c r="E1122" s="545" t="s">
        <v>624</v>
      </c>
      <c r="F1122" s="595">
        <f>SUM(I330:I653)</f>
        <v>3293913.95992143</v>
      </c>
      <c r="G1122" s="549">
        <f>SUM(K330:K653)</f>
        <v>91681.84499412593</v>
      </c>
      <c r="H1122" s="460" t="s">
        <v>3750</v>
      </c>
    </row>
    <row r="1123" spans="5:7" ht="14.25">
      <c r="E1123" s="545" t="s">
        <v>625</v>
      </c>
      <c r="F1123" s="598">
        <f>SUM(I654:I711)</f>
        <v>2177149.6399999997</v>
      </c>
      <c r="G1123" s="549">
        <f>SUM(K654:K711)</f>
        <v>59182.56736967147</v>
      </c>
    </row>
    <row r="1124" spans="5:7" ht="14.25">
      <c r="E1124" s="545" t="s">
        <v>626</v>
      </c>
      <c r="F1124" s="598">
        <f>SUM(I712:I749)</f>
        <v>4084731.979403</v>
      </c>
      <c r="G1124" s="549">
        <f>SUM(K712:K749)</f>
        <v>107586.54923327635</v>
      </c>
    </row>
    <row r="1125" spans="5:16" ht="15">
      <c r="E1125" s="538" t="s">
        <v>617</v>
      </c>
      <c r="F1125" s="599">
        <f>SUM(I750:I772)</f>
        <v>549826.29</v>
      </c>
      <c r="G1125" s="548">
        <f>SUM(K750:K772)</f>
        <v>14079.425787423219</v>
      </c>
      <c r="H1125" s="551" t="s">
        <v>3751</v>
      </c>
      <c r="I1125" s="78"/>
      <c r="J1125" s="79"/>
      <c r="K1125" s="79"/>
      <c r="L1125" s="483"/>
      <c r="M1125" s="483"/>
      <c r="N1125" s="79"/>
      <c r="O1125" s="65"/>
      <c r="P1125" s="62"/>
    </row>
    <row r="1126" spans="5:11" ht="14.25">
      <c r="E1126" s="545" t="s">
        <v>618</v>
      </c>
      <c r="F1126" s="596">
        <f>SUM(I773:I847)</f>
        <v>3436400.2700000037</v>
      </c>
      <c r="G1126" s="549">
        <f>SUM(K773:K847)</f>
        <v>82921.86517318705</v>
      </c>
      <c r="H1126" s="20"/>
      <c r="I1126" s="517" t="s">
        <v>3749</v>
      </c>
      <c r="J1126" s="518"/>
      <c r="K1126" s="518"/>
    </row>
    <row r="1127" spans="5:8" ht="14.25">
      <c r="E1127" s="545" t="s">
        <v>619</v>
      </c>
      <c r="F1127" s="596">
        <f>SUM(I848:I869)</f>
        <v>121854.03</v>
      </c>
      <c r="G1127" s="549">
        <f>SUM(K848:K869)</f>
        <v>2825.6285278857263</v>
      </c>
      <c r="H1127" s="547"/>
    </row>
    <row r="1128" spans="5:8" ht="14.25">
      <c r="E1128" s="545" t="s">
        <v>732</v>
      </c>
      <c r="F1128" s="596">
        <f>SUM(I870:I943)</f>
        <v>8419035.61</v>
      </c>
      <c r="G1128" s="548">
        <f>SUM(K870:K943)</f>
        <v>187878.59439976266</v>
      </c>
      <c r="H1128" s="547"/>
    </row>
    <row r="1129" spans="5:7" ht="14.25">
      <c r="E1129" s="538" t="s">
        <v>745</v>
      </c>
      <c r="F1129" s="666" t="s">
        <v>374</v>
      </c>
      <c r="G1129" s="665" t="s">
        <v>374</v>
      </c>
    </row>
    <row r="1130" spans="5:7" ht="14.25">
      <c r="E1130" s="538" t="s">
        <v>797</v>
      </c>
      <c r="F1130" s="599">
        <f>SUM(I944:I977)</f>
        <v>1198358.33</v>
      </c>
      <c r="G1130" s="549">
        <f>SUM(K944:K977)</f>
        <v>25312.893104571216</v>
      </c>
    </row>
    <row r="1131" spans="5:8" ht="14.25">
      <c r="E1131" s="545" t="s">
        <v>818</v>
      </c>
      <c r="F1131" s="596">
        <f>SUM(I978:I1051)</f>
        <v>2672227.03</v>
      </c>
      <c r="G1131" s="549">
        <f>SUM(K978:K1051)</f>
        <v>53305.62613828361</v>
      </c>
      <c r="H1131" s="547"/>
    </row>
    <row r="1132" spans="5:8" ht="15" thickBot="1">
      <c r="E1132" s="544" t="s">
        <v>2700</v>
      </c>
      <c r="F1132" s="598">
        <f>SUM(I1052:I1083)</f>
        <v>2519343</v>
      </c>
      <c r="G1132" s="550">
        <f>SUM(K1052:K1083)</f>
        <v>49476.811348607574</v>
      </c>
      <c r="H1132" s="547"/>
    </row>
    <row r="1133" spans="5:7" ht="15" thickBot="1">
      <c r="E1133" s="543" t="s">
        <v>3307</v>
      </c>
      <c r="F1133" s="598">
        <f>SUM(I1084:I1107)</f>
        <v>514107.4099999999</v>
      </c>
      <c r="G1133" s="552">
        <f>SUM(K1084:K1107)</f>
        <v>9335.433093992731</v>
      </c>
    </row>
    <row r="1134" spans="5:7" ht="15" thickBot="1">
      <c r="E1134" s="542" t="s">
        <v>3578</v>
      </c>
      <c r="F1134" s="600">
        <f>SUM(I1108:I1109)</f>
        <v>5065726.74</v>
      </c>
      <c r="G1134" s="601">
        <f>SUM(K1108:K1109)</f>
        <v>89706.98870367648</v>
      </c>
    </row>
    <row r="1135" spans="5:8" ht="15.75" thickBot="1">
      <c r="E1135" s="383" t="s">
        <v>345</v>
      </c>
      <c r="F1135" s="553">
        <f>SUM(F1118:F1134)</f>
        <v>41370647.90032442</v>
      </c>
      <c r="G1135" s="554">
        <f>SUM(G1118:G1134)</f>
        <v>990269.1801298291</v>
      </c>
      <c r="H1135" s="547"/>
    </row>
    <row r="1136" spans="5:7" ht="12.75">
      <c r="E1136" s="546"/>
      <c r="F1136" s="546"/>
      <c r="G1136" s="546"/>
    </row>
    <row r="1139" ht="12.75">
      <c r="B1139" s="20" t="s">
        <v>3713</v>
      </c>
    </row>
    <row r="1141" spans="1:15" ht="12.75">
      <c r="A1141" s="15"/>
      <c r="B1141" s="496" t="s">
        <v>334</v>
      </c>
      <c r="C1141" s="15"/>
      <c r="D1141" s="15"/>
      <c r="E1141" s="674" t="s">
        <v>511</v>
      </c>
      <c r="F1141" s="674"/>
      <c r="G1141" s="675" t="s">
        <v>65</v>
      </c>
      <c r="H1141" s="675"/>
      <c r="I1141" s="675"/>
      <c r="J1141" s="675" t="s">
        <v>65</v>
      </c>
      <c r="K1141" s="675"/>
      <c r="L1141" s="675"/>
      <c r="M1141" s="675"/>
      <c r="N1141" s="675"/>
      <c r="O1141" s="15"/>
    </row>
    <row r="1142" spans="1:15" ht="12.75">
      <c r="A1142" s="15"/>
      <c r="B1142" s="385"/>
      <c r="C1142" s="15"/>
      <c r="D1142" s="15"/>
      <c r="E1142" s="23"/>
      <c r="F1142" s="23"/>
      <c r="G1142" s="23"/>
      <c r="H1142" s="23"/>
      <c r="I1142" s="23"/>
      <c r="J1142" s="23"/>
      <c r="K1142" s="23"/>
      <c r="L1142" s="484"/>
      <c r="M1142" s="484"/>
      <c r="N1142" s="23"/>
      <c r="O1142" s="15"/>
    </row>
    <row r="1143" spans="1:15" ht="12.75">
      <c r="A1143" s="15"/>
      <c r="B1143" s="15"/>
      <c r="C1143" s="15"/>
      <c r="D1143" s="15"/>
      <c r="E1143" s="22"/>
      <c r="F1143" s="15"/>
      <c r="G1143" s="22"/>
      <c r="H1143" s="15"/>
      <c r="I1143" s="15"/>
      <c r="J1143" s="15"/>
      <c r="K1143" s="15"/>
      <c r="L1143" s="485"/>
      <c r="M1143" s="485"/>
      <c r="N1143" s="15"/>
      <c r="O1143" s="15"/>
    </row>
    <row r="1144" spans="1:15" ht="12.75">
      <c r="A1144" s="15"/>
      <c r="B1144" s="559" t="s">
        <v>3790</v>
      </c>
      <c r="C1144" s="15"/>
      <c r="D1144" s="15"/>
      <c r="E1144" s="555" t="s">
        <v>3711</v>
      </c>
      <c r="F1144" s="15"/>
      <c r="G1144" s="21"/>
      <c r="H1144" s="471" t="s">
        <v>3791</v>
      </c>
      <c r="I1144" s="15"/>
      <c r="J1144" s="556" t="s">
        <v>3712</v>
      </c>
      <c r="K1144" s="15"/>
      <c r="L1144" s="485"/>
      <c r="M1144" s="485"/>
      <c r="N1144" s="15"/>
      <c r="O1144" s="15"/>
    </row>
    <row r="1145" spans="1:15" ht="15">
      <c r="A1145" s="15"/>
      <c r="B1145" s="516" t="s">
        <v>3738</v>
      </c>
      <c r="C1145" s="330"/>
      <c r="D1145" s="331"/>
      <c r="E1145" s="470" t="s">
        <v>639</v>
      </c>
      <c r="F1145" s="337"/>
      <c r="G1145" s="560" t="s">
        <v>3501</v>
      </c>
      <c r="H1145" s="558"/>
      <c r="I1145" s="337"/>
      <c r="J1145" s="470" t="s">
        <v>817</v>
      </c>
      <c r="K1145" s="557"/>
      <c r="L1145" s="486"/>
      <c r="M1145" s="486"/>
      <c r="N1145" s="337"/>
      <c r="O1145" s="15"/>
    </row>
    <row r="1146" spans="1:15" ht="12.75">
      <c r="A1146" s="15"/>
      <c r="B1146" s="498" t="s">
        <v>3502</v>
      </c>
      <c r="C1146" s="332"/>
      <c r="D1146" s="332"/>
      <c r="E1146" s="667" t="s">
        <v>640</v>
      </c>
      <c r="F1146" s="667"/>
      <c r="G1146" s="668" t="s">
        <v>3514</v>
      </c>
      <c r="H1146" s="668"/>
      <c r="I1146" s="668"/>
      <c r="J1146" s="669" t="s">
        <v>510</v>
      </c>
      <c r="K1146" s="669"/>
      <c r="L1146" s="669"/>
      <c r="M1146" s="669"/>
      <c r="N1146" s="669"/>
      <c r="O1146" s="15"/>
    </row>
    <row r="1147" spans="2:9" ht="12.75">
      <c r="B1147" s="497" t="s">
        <v>3710</v>
      </c>
      <c r="C1147" s="386"/>
      <c r="G1147" s="387"/>
      <c r="H1147" s="387"/>
      <c r="I1147" s="387"/>
    </row>
    <row r="1150" ht="12.75">
      <c r="B1150" s="20" t="s">
        <v>3713</v>
      </c>
    </row>
  </sheetData>
  <sheetProtection/>
  <mergeCells count="8">
    <mergeCell ref="E1146:F1146"/>
    <mergeCell ref="G1146:I1146"/>
    <mergeCell ref="J1146:N1146"/>
    <mergeCell ref="E1111:H1111"/>
    <mergeCell ref="E1116:G1116"/>
    <mergeCell ref="E1141:F1141"/>
    <mergeCell ref="G1141:I1141"/>
    <mergeCell ref="J1141:N1141"/>
  </mergeCells>
  <printOptions/>
  <pageMargins left="0.7086614173228347" right="0.7086614173228347" top="0.7480314960629921" bottom="0.7480314960629921" header="0.31496062992125984" footer="0.31496062992125984"/>
  <pageSetup orientation="landscape" scale="60" r:id="rId2"/>
  <headerFooter>
    <oddFooter>&amp;CPág. &amp;P- -&amp;N</oddFooter>
  </headerFooter>
  <rowBreaks count="64" manualBreakCount="64">
    <brk id="20" max="255" man="1"/>
    <brk id="36" max="255" man="1"/>
    <brk id="52" max="255" man="1"/>
    <brk id="70" max="255" man="1"/>
    <brk id="88" max="15" man="1"/>
    <brk id="106" max="15" man="1"/>
    <brk id="124" max="15" man="1"/>
    <brk id="142" max="15" man="1"/>
    <brk id="160" max="15" man="1"/>
    <brk id="178" max="15" man="1"/>
    <brk id="196" max="15" man="1"/>
    <brk id="214" max="15" man="1"/>
    <brk id="232" max="15" man="1"/>
    <brk id="249" max="255" man="1"/>
    <brk id="267" max="15" man="1"/>
    <brk id="283" max="255" man="1"/>
    <brk id="301" max="15" man="1"/>
    <brk id="319" max="15" man="1"/>
    <brk id="337" max="15" man="1"/>
    <brk id="355" max="15" man="1"/>
    <brk id="373" max="15" man="1"/>
    <brk id="391" max="15" man="1"/>
    <brk id="409" max="15" man="1"/>
    <brk id="427" max="15" man="1"/>
    <brk id="445" max="15" man="1"/>
    <brk id="463" max="15" man="1"/>
    <brk id="481" max="15" man="1"/>
    <brk id="499" max="15" man="1"/>
    <brk id="517" max="255" man="1"/>
    <brk id="534" max="255" man="1"/>
    <brk id="550" max="255" man="1"/>
    <brk id="567" max="255" man="1"/>
    <brk id="584" max="255" man="1"/>
    <brk id="601" max="255" man="1"/>
    <brk id="619" max="255" man="1"/>
    <brk id="637" max="255" man="1"/>
    <brk id="654" max="255" man="1"/>
    <brk id="672" max="255" man="1"/>
    <brk id="689" max="255" man="1"/>
    <brk id="705" max="255" man="1"/>
    <brk id="722" max="255" man="1"/>
    <brk id="740" max="15" man="1"/>
    <brk id="756" max="255" man="1"/>
    <brk id="774" max="255" man="1"/>
    <brk id="792" max="255" man="1"/>
    <brk id="810" max="255" man="1"/>
    <brk id="828" max="255" man="1"/>
    <brk id="846" max="255" man="1"/>
    <brk id="864" max="255" man="1"/>
    <brk id="882" max="15" man="1"/>
    <brk id="900" max="15" man="1"/>
    <brk id="918" max="15" man="1"/>
    <brk id="936" max="15" man="1"/>
    <brk id="952" max="255" man="1"/>
    <brk id="970" max="255" man="1"/>
    <brk id="986" max="255" man="1"/>
    <brk id="1001" max="15" man="1"/>
    <brk id="1016" max="15" man="1"/>
    <brk id="1034" max="15" man="1"/>
    <brk id="1052" max="255" man="1"/>
    <brk id="1070" max="255" man="1"/>
    <brk id="1087" max="255" man="1"/>
    <brk id="1098" max="15" man="1"/>
    <brk id="1112" max="15" man="1"/>
  </rowBreaks>
  <ignoredErrors>
    <ignoredError sqref="F1118:F1134 G1118:G113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U151"/>
  <sheetViews>
    <sheetView zoomScale="110" zoomScaleNormal="110" zoomScalePageLayoutView="0" workbookViewId="0" topLeftCell="A109">
      <pane xSplit="3" topLeftCell="E1" activePane="topRight" state="frozen"/>
      <selection pane="topLeft" activeCell="A373" sqref="A373"/>
      <selection pane="topRight" activeCell="S111" sqref="S111"/>
    </sheetView>
  </sheetViews>
  <sheetFormatPr defaultColWidth="11.421875" defaultRowHeight="12.75"/>
  <cols>
    <col min="1" max="1" width="1.28515625" style="122" customWidth="1"/>
    <col min="2" max="2" width="8.57421875" style="122" customWidth="1"/>
    <col min="3" max="4" width="9.57421875" style="125" customWidth="1"/>
    <col min="5" max="5" width="24.28125" style="122" customWidth="1"/>
    <col min="6" max="6" width="13.7109375" style="123" customWidth="1"/>
    <col min="7" max="7" width="15.57421875" style="125" customWidth="1"/>
    <col min="8" max="8" width="17.8515625" style="125" customWidth="1"/>
    <col min="9" max="9" width="13.28125" style="122" customWidth="1"/>
    <col min="10" max="10" width="6.140625" style="122" customWidth="1"/>
    <col min="11" max="11" width="11.28125" style="122" customWidth="1"/>
    <col min="12" max="12" width="6.28125" style="122" customWidth="1"/>
    <col min="13" max="13" width="9.140625" style="122" customWidth="1"/>
    <col min="14" max="14" width="6.00390625" style="122" customWidth="1"/>
    <col min="15" max="15" width="10.421875" style="122" customWidth="1"/>
    <col min="16" max="16" width="13.140625" style="122" customWidth="1"/>
    <col min="17" max="16384" width="11.421875" style="122" customWidth="1"/>
  </cols>
  <sheetData>
    <row r="1" spans="3:47" s="37" customFormat="1" ht="24.75" customHeight="1">
      <c r="C1" s="225"/>
      <c r="D1" s="255" t="s">
        <v>3503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3:47" s="37" customFormat="1" ht="21.75" customHeight="1">
      <c r="C2" s="225"/>
      <c r="D2" s="252" t="s">
        <v>3504</v>
      </c>
      <c r="E2" s="259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3:47" s="37" customFormat="1" ht="21.75" customHeight="1">
      <c r="C3" s="226"/>
      <c r="D3" s="249" t="s">
        <v>3721</v>
      </c>
      <c r="E3" s="261"/>
      <c r="F3" s="261"/>
      <c r="G3" s="261"/>
      <c r="H3" s="261"/>
      <c r="I3" s="40"/>
      <c r="J3" s="40"/>
      <c r="K3" s="40"/>
      <c r="L3" s="40"/>
      <c r="M3" s="40"/>
      <c r="N3" s="40"/>
      <c r="O3" s="40"/>
      <c r="P3" s="40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3:47" s="37" customFormat="1" ht="16.5" customHeight="1">
      <c r="C4" s="227"/>
      <c r="D4" s="227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</row>
    <row r="5" spans="2:47" s="43" customFormat="1" ht="33.75" customHeight="1">
      <c r="B5" s="432" t="s">
        <v>43</v>
      </c>
      <c r="C5" s="433" t="s">
        <v>1942</v>
      </c>
      <c r="D5" s="434" t="s">
        <v>1940</v>
      </c>
      <c r="E5" s="434" t="s">
        <v>44</v>
      </c>
      <c r="F5" s="434" t="s">
        <v>45</v>
      </c>
      <c r="G5" s="434" t="s">
        <v>3717</v>
      </c>
      <c r="H5" s="262" t="s">
        <v>3509</v>
      </c>
      <c r="I5" s="436" t="s">
        <v>54</v>
      </c>
      <c r="J5" s="436" t="s">
        <v>55</v>
      </c>
      <c r="K5" s="437" t="s">
        <v>56</v>
      </c>
      <c r="L5" s="438" t="s">
        <v>57</v>
      </c>
      <c r="M5" s="439" t="s">
        <v>58</v>
      </c>
      <c r="N5" s="440" t="s">
        <v>59</v>
      </c>
      <c r="O5" s="433" t="s">
        <v>60</v>
      </c>
      <c r="P5" s="433" t="s">
        <v>61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2:47" s="37" customFormat="1" ht="39.75" customHeight="1">
      <c r="B6" s="44">
        <v>40984</v>
      </c>
      <c r="C6" s="46" t="s">
        <v>199</v>
      </c>
      <c r="D6" s="2" t="s">
        <v>2926</v>
      </c>
      <c r="E6" s="45" t="s">
        <v>2453</v>
      </c>
      <c r="F6" s="46" t="s">
        <v>2454</v>
      </c>
      <c r="G6" s="46" t="s">
        <v>2455</v>
      </c>
      <c r="H6" s="46" t="s">
        <v>2456</v>
      </c>
      <c r="I6" s="298">
        <f>7548.47+1207.75+81.9+13.1</f>
        <v>8851.220000000001</v>
      </c>
      <c r="J6" s="233">
        <v>39.02</v>
      </c>
      <c r="K6" s="297">
        <f aca="true" t="shared" si="0" ref="K6:K24">+I6/J6</f>
        <v>226.8380317785751</v>
      </c>
      <c r="L6" s="46">
        <v>36</v>
      </c>
      <c r="M6" s="47">
        <f aca="true" t="shared" si="1" ref="M6:M24">IF(AND(I6&lt;&gt;0,L6&lt;&gt;0),I6/L6,0)</f>
        <v>245.86722222222227</v>
      </c>
      <c r="N6" s="234">
        <f aca="true" ca="1" t="shared" si="2" ref="N6:N35">IF(B6&lt;&gt;0,(ROUND((NOW()-B6)/30,0)),0)</f>
        <v>119</v>
      </c>
      <c r="O6" s="33">
        <v>1</v>
      </c>
      <c r="P6" s="45" t="s">
        <v>273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2:47" s="37" customFormat="1" ht="39.75" customHeight="1">
      <c r="B7" s="44">
        <v>40984</v>
      </c>
      <c r="C7" s="46" t="s">
        <v>199</v>
      </c>
      <c r="D7" s="2" t="s">
        <v>2927</v>
      </c>
      <c r="E7" s="45" t="s">
        <v>2453</v>
      </c>
      <c r="F7" s="46" t="s">
        <v>2457</v>
      </c>
      <c r="G7" s="46" t="s">
        <v>2458</v>
      </c>
      <c r="H7" s="46" t="s">
        <v>2459</v>
      </c>
      <c r="I7" s="298">
        <f>7548.47+1207.75+81.9+13.1</f>
        <v>8851.220000000001</v>
      </c>
      <c r="J7" s="233">
        <v>39.02</v>
      </c>
      <c r="K7" s="297">
        <f t="shared" si="0"/>
        <v>226.8380317785751</v>
      </c>
      <c r="L7" s="46">
        <v>36</v>
      </c>
      <c r="M7" s="47">
        <f t="shared" si="1"/>
        <v>245.86722222222227</v>
      </c>
      <c r="N7" s="234">
        <f ca="1" t="shared" si="2"/>
        <v>119</v>
      </c>
      <c r="O7" s="33">
        <v>1</v>
      </c>
      <c r="P7" s="45" t="s">
        <v>273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</row>
    <row r="8" spans="2:47" s="37" customFormat="1" ht="39.75" customHeight="1">
      <c r="B8" s="44">
        <v>40984</v>
      </c>
      <c r="C8" s="46" t="s">
        <v>199</v>
      </c>
      <c r="D8" s="2" t="s">
        <v>2928</v>
      </c>
      <c r="E8" s="45" t="s">
        <v>2453</v>
      </c>
      <c r="F8" s="46" t="s">
        <v>2460</v>
      </c>
      <c r="G8" s="46" t="s">
        <v>2461</v>
      </c>
      <c r="H8" s="46" t="s">
        <v>2462</v>
      </c>
      <c r="I8" s="298">
        <f>7548.47+1207.75+81.9+13.1</f>
        <v>8851.220000000001</v>
      </c>
      <c r="J8" s="233">
        <v>39.02</v>
      </c>
      <c r="K8" s="297">
        <f t="shared" si="0"/>
        <v>226.8380317785751</v>
      </c>
      <c r="L8" s="46">
        <v>36</v>
      </c>
      <c r="M8" s="47">
        <f t="shared" si="1"/>
        <v>245.86722222222227</v>
      </c>
      <c r="N8" s="234">
        <f ca="1" t="shared" si="2"/>
        <v>119</v>
      </c>
      <c r="O8" s="33">
        <v>1</v>
      </c>
      <c r="P8" s="45" t="s">
        <v>273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2:47" s="37" customFormat="1" ht="39.75" customHeight="1">
      <c r="B9" s="44">
        <v>40984</v>
      </c>
      <c r="C9" s="46" t="s">
        <v>199</v>
      </c>
      <c r="D9" s="2" t="s">
        <v>2929</v>
      </c>
      <c r="E9" s="45" t="s">
        <v>2453</v>
      </c>
      <c r="F9" s="46" t="s">
        <v>2463</v>
      </c>
      <c r="G9" s="46" t="s">
        <v>2464</v>
      </c>
      <c r="H9" s="46" t="s">
        <v>2465</v>
      </c>
      <c r="I9" s="298">
        <f>7548.47+1207.75+81.9+13.1</f>
        <v>8851.220000000001</v>
      </c>
      <c r="J9" s="233">
        <v>39.02</v>
      </c>
      <c r="K9" s="297">
        <f t="shared" si="0"/>
        <v>226.8380317785751</v>
      </c>
      <c r="L9" s="46">
        <v>36</v>
      </c>
      <c r="M9" s="47">
        <f t="shared" si="1"/>
        <v>245.86722222222227</v>
      </c>
      <c r="N9" s="234">
        <f ca="1" t="shared" si="2"/>
        <v>119</v>
      </c>
      <c r="O9" s="33">
        <v>1</v>
      </c>
      <c r="P9" s="45" t="s">
        <v>273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</row>
    <row r="10" spans="2:47" s="37" customFormat="1" ht="39.75" customHeight="1">
      <c r="B10" s="44">
        <v>40984</v>
      </c>
      <c r="C10" s="46" t="s">
        <v>199</v>
      </c>
      <c r="D10" s="2" t="s">
        <v>2930</v>
      </c>
      <c r="E10" s="45" t="s">
        <v>2466</v>
      </c>
      <c r="F10" s="46">
        <v>1112071552</v>
      </c>
      <c r="G10" s="46" t="s">
        <v>2455</v>
      </c>
      <c r="H10" s="46" t="s">
        <v>2456</v>
      </c>
      <c r="I10" s="298">
        <f>1456.17+232.99</f>
        <v>1689.16</v>
      </c>
      <c r="J10" s="233">
        <v>39.02</v>
      </c>
      <c r="K10" s="297">
        <f t="shared" si="0"/>
        <v>43.289595079446435</v>
      </c>
      <c r="L10" s="46">
        <v>60</v>
      </c>
      <c r="M10" s="47">
        <f t="shared" si="1"/>
        <v>28.15266666666667</v>
      </c>
      <c r="N10" s="234">
        <f ca="1" t="shared" si="2"/>
        <v>119</v>
      </c>
      <c r="O10" s="33">
        <v>1</v>
      </c>
      <c r="P10" s="45" t="s">
        <v>273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</row>
    <row r="11" spans="2:47" s="37" customFormat="1" ht="39.75" customHeight="1">
      <c r="B11" s="44">
        <v>40984</v>
      </c>
      <c r="C11" s="46" t="s">
        <v>199</v>
      </c>
      <c r="D11" s="2" t="s">
        <v>2931</v>
      </c>
      <c r="E11" s="45" t="s">
        <v>2466</v>
      </c>
      <c r="F11" s="46">
        <v>1112071553</v>
      </c>
      <c r="G11" s="46" t="s">
        <v>2458</v>
      </c>
      <c r="H11" s="46" t="s">
        <v>2459</v>
      </c>
      <c r="I11" s="298">
        <f>1456.17+232.99</f>
        <v>1689.16</v>
      </c>
      <c r="J11" s="233">
        <v>39.02</v>
      </c>
      <c r="K11" s="297">
        <f t="shared" si="0"/>
        <v>43.289595079446435</v>
      </c>
      <c r="L11" s="46">
        <v>60</v>
      </c>
      <c r="M11" s="47">
        <f t="shared" si="1"/>
        <v>28.15266666666667</v>
      </c>
      <c r="N11" s="234">
        <f ca="1" t="shared" si="2"/>
        <v>119</v>
      </c>
      <c r="O11" s="33">
        <v>1</v>
      </c>
      <c r="P11" s="45" t="s">
        <v>273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</row>
    <row r="12" spans="2:47" s="37" customFormat="1" ht="39.75" customHeight="1">
      <c r="B12" s="44">
        <v>40984</v>
      </c>
      <c r="C12" s="46" t="s">
        <v>199</v>
      </c>
      <c r="D12" s="2" t="s">
        <v>2932</v>
      </c>
      <c r="E12" s="45" t="s">
        <v>2466</v>
      </c>
      <c r="F12" s="46">
        <v>1112071554</v>
      </c>
      <c r="G12" s="46" t="s">
        <v>2461</v>
      </c>
      <c r="H12" s="46" t="s">
        <v>2462</v>
      </c>
      <c r="I12" s="298">
        <f>1456.17+232.99</f>
        <v>1689.16</v>
      </c>
      <c r="J12" s="233">
        <v>39.02</v>
      </c>
      <c r="K12" s="297">
        <f t="shared" si="0"/>
        <v>43.289595079446435</v>
      </c>
      <c r="L12" s="46">
        <v>60</v>
      </c>
      <c r="M12" s="47">
        <f t="shared" si="1"/>
        <v>28.15266666666667</v>
      </c>
      <c r="N12" s="234">
        <f ca="1" t="shared" si="2"/>
        <v>119</v>
      </c>
      <c r="O12" s="33">
        <v>1</v>
      </c>
      <c r="P12" s="45" t="s">
        <v>273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</row>
    <row r="13" spans="2:47" s="37" customFormat="1" ht="39.75" customHeight="1">
      <c r="B13" s="44">
        <v>40984</v>
      </c>
      <c r="C13" s="46" t="s">
        <v>199</v>
      </c>
      <c r="D13" s="2" t="s">
        <v>2933</v>
      </c>
      <c r="E13" s="45" t="s">
        <v>2466</v>
      </c>
      <c r="F13" s="46">
        <v>1112071627</v>
      </c>
      <c r="G13" s="46" t="s">
        <v>2464</v>
      </c>
      <c r="H13" s="46" t="s">
        <v>2465</v>
      </c>
      <c r="I13" s="298">
        <f>1456.17+232.99</f>
        <v>1689.16</v>
      </c>
      <c r="J13" s="233">
        <v>39.02</v>
      </c>
      <c r="K13" s="297">
        <f t="shared" si="0"/>
        <v>43.289595079446435</v>
      </c>
      <c r="L13" s="46">
        <v>60</v>
      </c>
      <c r="M13" s="47">
        <f t="shared" si="1"/>
        <v>28.15266666666667</v>
      </c>
      <c r="N13" s="234">
        <f ca="1" t="shared" si="2"/>
        <v>119</v>
      </c>
      <c r="O13" s="33">
        <v>1</v>
      </c>
      <c r="P13" s="45" t="s">
        <v>273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</row>
    <row r="14" spans="2:47" s="37" customFormat="1" ht="39.75" customHeight="1">
      <c r="B14" s="44">
        <v>40984</v>
      </c>
      <c r="C14" s="46" t="s">
        <v>199</v>
      </c>
      <c r="D14" s="2" t="s">
        <v>2934</v>
      </c>
      <c r="E14" s="45" t="s">
        <v>2467</v>
      </c>
      <c r="F14" s="46" t="s">
        <v>2468</v>
      </c>
      <c r="G14" s="46" t="s">
        <v>2469</v>
      </c>
      <c r="H14" s="46" t="s">
        <v>437</v>
      </c>
      <c r="I14" s="298">
        <f>2870.73+459.32</f>
        <v>3330.05</v>
      </c>
      <c r="J14" s="233">
        <v>39.02</v>
      </c>
      <c r="K14" s="297">
        <f t="shared" si="0"/>
        <v>85.34213223987699</v>
      </c>
      <c r="L14" s="46">
        <v>60</v>
      </c>
      <c r="M14" s="47">
        <f t="shared" si="1"/>
        <v>55.50083333333334</v>
      </c>
      <c r="N14" s="234">
        <f ca="1" t="shared" si="2"/>
        <v>119</v>
      </c>
      <c r="O14" s="33">
        <v>1</v>
      </c>
      <c r="P14" s="45" t="s">
        <v>273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</row>
    <row r="15" spans="2:47" s="37" customFormat="1" ht="39.75" customHeight="1">
      <c r="B15" s="44">
        <v>40984</v>
      </c>
      <c r="C15" s="46" t="s">
        <v>199</v>
      </c>
      <c r="D15" s="2" t="s">
        <v>2935</v>
      </c>
      <c r="E15" s="45" t="s">
        <v>2467</v>
      </c>
      <c r="F15" s="46" t="s">
        <v>2470</v>
      </c>
      <c r="G15" s="46" t="s">
        <v>2472</v>
      </c>
      <c r="H15" s="46" t="s">
        <v>437</v>
      </c>
      <c r="I15" s="298">
        <f>2870.73+459.32</f>
        <v>3330.05</v>
      </c>
      <c r="J15" s="233">
        <v>39.02</v>
      </c>
      <c r="K15" s="297">
        <f t="shared" si="0"/>
        <v>85.34213223987699</v>
      </c>
      <c r="L15" s="46">
        <v>60</v>
      </c>
      <c r="M15" s="47">
        <f t="shared" si="1"/>
        <v>55.50083333333334</v>
      </c>
      <c r="N15" s="234">
        <f ca="1" t="shared" si="2"/>
        <v>119</v>
      </c>
      <c r="O15" s="33">
        <v>1</v>
      </c>
      <c r="P15" s="45" t="s">
        <v>273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</row>
    <row r="16" spans="2:47" s="37" customFormat="1" ht="39.75" customHeight="1">
      <c r="B16" s="44">
        <v>40984</v>
      </c>
      <c r="C16" s="46" t="s">
        <v>199</v>
      </c>
      <c r="D16" s="2" t="s">
        <v>2936</v>
      </c>
      <c r="E16" s="45" t="s">
        <v>2467</v>
      </c>
      <c r="F16" s="46" t="s">
        <v>2471</v>
      </c>
      <c r="G16" s="46" t="s">
        <v>2491</v>
      </c>
      <c r="H16" s="46" t="s">
        <v>437</v>
      </c>
      <c r="I16" s="298">
        <f>2870.73+459.31</f>
        <v>3330.04</v>
      </c>
      <c r="J16" s="233">
        <v>39.02</v>
      </c>
      <c r="K16" s="297">
        <f t="shared" si="0"/>
        <v>85.34187596104562</v>
      </c>
      <c r="L16" s="46">
        <v>60</v>
      </c>
      <c r="M16" s="47">
        <f t="shared" si="1"/>
        <v>55.50066666666667</v>
      </c>
      <c r="N16" s="234">
        <f ca="1" t="shared" si="2"/>
        <v>119</v>
      </c>
      <c r="O16" s="33">
        <v>1</v>
      </c>
      <c r="P16" s="45" t="s">
        <v>273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</row>
    <row r="17" spans="2:47" s="462" customFormat="1" ht="39.75" customHeight="1">
      <c r="B17" s="239">
        <v>40984</v>
      </c>
      <c r="C17" s="240" t="s">
        <v>199</v>
      </c>
      <c r="D17" s="237" t="s">
        <v>2937</v>
      </c>
      <c r="E17" s="241" t="s">
        <v>2473</v>
      </c>
      <c r="F17" s="240" t="s">
        <v>2474</v>
      </c>
      <c r="G17" s="240" t="s">
        <v>2475</v>
      </c>
      <c r="H17" s="240" t="s">
        <v>437</v>
      </c>
      <c r="I17" s="299">
        <f>2870.73+459.31</f>
        <v>3330.04</v>
      </c>
      <c r="J17" s="242">
        <v>39.02</v>
      </c>
      <c r="K17" s="301">
        <f t="shared" si="0"/>
        <v>85.34187596104562</v>
      </c>
      <c r="L17" s="240">
        <v>60</v>
      </c>
      <c r="M17" s="243">
        <f t="shared" si="1"/>
        <v>55.50066666666667</v>
      </c>
      <c r="N17" s="244">
        <f ca="1" t="shared" si="2"/>
        <v>119</v>
      </c>
      <c r="O17" s="238">
        <v>1</v>
      </c>
      <c r="P17" s="241" t="s">
        <v>273</v>
      </c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</row>
    <row r="18" spans="2:47" s="37" customFormat="1" ht="39.75" customHeight="1">
      <c r="B18" s="44">
        <v>40984</v>
      </c>
      <c r="C18" s="46" t="s">
        <v>199</v>
      </c>
      <c r="D18" s="2" t="s">
        <v>2938</v>
      </c>
      <c r="E18" s="45" t="s">
        <v>2473</v>
      </c>
      <c r="F18" s="46" t="s">
        <v>2476</v>
      </c>
      <c r="G18" s="46" t="s">
        <v>517</v>
      </c>
      <c r="H18" s="46" t="s">
        <v>437</v>
      </c>
      <c r="I18" s="298">
        <f>2870.73+459.31</f>
        <v>3330.04</v>
      </c>
      <c r="J18" s="233">
        <v>39.02</v>
      </c>
      <c r="K18" s="297">
        <f t="shared" si="0"/>
        <v>85.34187596104562</v>
      </c>
      <c r="L18" s="46">
        <v>60</v>
      </c>
      <c r="M18" s="47">
        <f t="shared" si="1"/>
        <v>55.50066666666667</v>
      </c>
      <c r="N18" s="234">
        <f ca="1" t="shared" si="2"/>
        <v>119</v>
      </c>
      <c r="O18" s="33">
        <v>1</v>
      </c>
      <c r="P18" s="45" t="s">
        <v>273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</row>
    <row r="19" spans="2:47" s="462" customFormat="1" ht="39.75" customHeight="1">
      <c r="B19" s="239">
        <v>40984</v>
      </c>
      <c r="C19" s="240" t="s">
        <v>199</v>
      </c>
      <c r="D19" s="237" t="s">
        <v>2939</v>
      </c>
      <c r="E19" s="241" t="s">
        <v>2473</v>
      </c>
      <c r="F19" s="240" t="s">
        <v>2477</v>
      </c>
      <c r="G19" s="240" t="s">
        <v>517</v>
      </c>
      <c r="H19" s="240" t="s">
        <v>437</v>
      </c>
      <c r="I19" s="299">
        <f>2870.73+459.31</f>
        <v>3330.04</v>
      </c>
      <c r="J19" s="242">
        <v>39.02</v>
      </c>
      <c r="K19" s="301">
        <f t="shared" si="0"/>
        <v>85.34187596104562</v>
      </c>
      <c r="L19" s="240">
        <v>60</v>
      </c>
      <c r="M19" s="243">
        <f t="shared" si="1"/>
        <v>55.50066666666667</v>
      </c>
      <c r="N19" s="244">
        <f ca="1" t="shared" si="2"/>
        <v>119</v>
      </c>
      <c r="O19" s="238">
        <v>1</v>
      </c>
      <c r="P19" s="241" t="s">
        <v>273</v>
      </c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</row>
    <row r="20" spans="2:47" s="37" customFormat="1" ht="50.25" customHeight="1">
      <c r="B20" s="44">
        <v>40996</v>
      </c>
      <c r="C20" s="46" t="s">
        <v>2478</v>
      </c>
      <c r="D20" s="2" t="s">
        <v>2934</v>
      </c>
      <c r="E20" s="45" t="s">
        <v>3005</v>
      </c>
      <c r="F20" s="46" t="s">
        <v>2479</v>
      </c>
      <c r="G20" s="46" t="s">
        <v>2455</v>
      </c>
      <c r="H20" s="46" t="s">
        <v>2456</v>
      </c>
      <c r="I20" s="298">
        <f>40063.18+6410.11+4680.95+748.95+563.19+90.11</f>
        <v>52556.49</v>
      </c>
      <c r="J20" s="233">
        <v>38.98</v>
      </c>
      <c r="K20" s="297">
        <f t="shared" si="0"/>
        <v>1348.293740379682</v>
      </c>
      <c r="L20" s="46">
        <v>60</v>
      </c>
      <c r="M20" s="47">
        <f t="shared" si="1"/>
        <v>875.9415</v>
      </c>
      <c r="N20" s="234">
        <f ca="1" t="shared" si="2"/>
        <v>119</v>
      </c>
      <c r="O20" s="33">
        <v>1</v>
      </c>
      <c r="P20" s="45" t="s">
        <v>193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</row>
    <row r="21" spans="2:47" s="37" customFormat="1" ht="49.5" customHeight="1">
      <c r="B21" s="44">
        <v>40996</v>
      </c>
      <c r="C21" s="46" t="s">
        <v>2478</v>
      </c>
      <c r="D21" s="2" t="s">
        <v>2935</v>
      </c>
      <c r="E21" s="45" t="s">
        <v>3005</v>
      </c>
      <c r="F21" s="46" t="s">
        <v>2480</v>
      </c>
      <c r="G21" s="46" t="s">
        <v>2458</v>
      </c>
      <c r="H21" s="46" t="s">
        <v>2459</v>
      </c>
      <c r="I21" s="298">
        <f>40063.18+6410.11+4680.95+748.95+563.19+90.11</f>
        <v>52556.49</v>
      </c>
      <c r="J21" s="233">
        <v>38.98</v>
      </c>
      <c r="K21" s="297">
        <f t="shared" si="0"/>
        <v>1348.293740379682</v>
      </c>
      <c r="L21" s="46">
        <v>60</v>
      </c>
      <c r="M21" s="47">
        <f t="shared" si="1"/>
        <v>875.9415</v>
      </c>
      <c r="N21" s="234">
        <f ca="1" t="shared" si="2"/>
        <v>119</v>
      </c>
      <c r="O21" s="33">
        <v>1</v>
      </c>
      <c r="P21" s="45" t="s">
        <v>193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</row>
    <row r="22" spans="2:47" s="37" customFormat="1" ht="48.75" customHeight="1">
      <c r="B22" s="44">
        <v>40996</v>
      </c>
      <c r="C22" s="46" t="s">
        <v>2478</v>
      </c>
      <c r="D22" s="2" t="s">
        <v>2936</v>
      </c>
      <c r="E22" s="45" t="s">
        <v>3005</v>
      </c>
      <c r="F22" s="46" t="s">
        <v>2481</v>
      </c>
      <c r="G22" s="46" t="s">
        <v>2461</v>
      </c>
      <c r="H22" s="46" t="s">
        <v>2462</v>
      </c>
      <c r="I22" s="298">
        <f>40063.18+6410.11+4680.95+748.95+563.19+90.11</f>
        <v>52556.49</v>
      </c>
      <c r="J22" s="233">
        <v>38.98</v>
      </c>
      <c r="K22" s="297">
        <f t="shared" si="0"/>
        <v>1348.293740379682</v>
      </c>
      <c r="L22" s="46">
        <v>60</v>
      </c>
      <c r="M22" s="47">
        <f t="shared" si="1"/>
        <v>875.9415</v>
      </c>
      <c r="N22" s="234">
        <f ca="1" t="shared" si="2"/>
        <v>119</v>
      </c>
      <c r="O22" s="33">
        <v>1</v>
      </c>
      <c r="P22" s="45" t="s">
        <v>193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</row>
    <row r="23" spans="2:47" s="37" customFormat="1" ht="46.5" customHeight="1">
      <c r="B23" s="44">
        <v>40996</v>
      </c>
      <c r="C23" s="46" t="s">
        <v>2478</v>
      </c>
      <c r="D23" s="2" t="s">
        <v>2937</v>
      </c>
      <c r="E23" s="45" t="s">
        <v>3005</v>
      </c>
      <c r="F23" s="46" t="s">
        <v>2482</v>
      </c>
      <c r="G23" s="46" t="s">
        <v>2464</v>
      </c>
      <c r="H23" s="46" t="s">
        <v>2465</v>
      </c>
      <c r="I23" s="298">
        <f>40063.18+6410.11+4680.95+748.95+563.19+90.11</f>
        <v>52556.49</v>
      </c>
      <c r="J23" s="233">
        <v>38.98</v>
      </c>
      <c r="K23" s="297">
        <f t="shared" si="0"/>
        <v>1348.293740379682</v>
      </c>
      <c r="L23" s="46">
        <v>60</v>
      </c>
      <c r="M23" s="47">
        <f t="shared" si="1"/>
        <v>875.9415</v>
      </c>
      <c r="N23" s="234">
        <f ca="1" t="shared" si="2"/>
        <v>119</v>
      </c>
      <c r="O23" s="33">
        <v>1</v>
      </c>
      <c r="P23" s="45" t="s">
        <v>193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</row>
    <row r="24" spans="2:47" s="37" customFormat="1" ht="47.25" customHeight="1">
      <c r="B24" s="44">
        <v>40996</v>
      </c>
      <c r="C24" s="46" t="s">
        <v>2478</v>
      </c>
      <c r="D24" s="2" t="s">
        <v>2944</v>
      </c>
      <c r="E24" s="45" t="s">
        <v>3005</v>
      </c>
      <c r="F24" s="46" t="s">
        <v>2483</v>
      </c>
      <c r="G24" s="46" t="s">
        <v>517</v>
      </c>
      <c r="H24" s="46" t="s">
        <v>437</v>
      </c>
      <c r="I24" s="298">
        <f>40063.18+6410.11+4680.95+748.95+563.19+90.11</f>
        <v>52556.49</v>
      </c>
      <c r="J24" s="233">
        <v>38.98</v>
      </c>
      <c r="K24" s="297">
        <f t="shared" si="0"/>
        <v>1348.293740379682</v>
      </c>
      <c r="L24" s="46">
        <v>60</v>
      </c>
      <c r="M24" s="47">
        <f t="shared" si="1"/>
        <v>875.9415</v>
      </c>
      <c r="N24" s="234">
        <f ca="1" t="shared" si="2"/>
        <v>119</v>
      </c>
      <c r="O24" s="33">
        <v>1</v>
      </c>
      <c r="P24" s="45" t="s">
        <v>193</v>
      </c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</row>
    <row r="25" spans="2:47" s="37" customFormat="1" ht="39.75" customHeight="1">
      <c r="B25" s="44">
        <v>40997</v>
      </c>
      <c r="C25" s="46" t="s">
        <v>2484</v>
      </c>
      <c r="D25" s="2" t="s">
        <v>2945</v>
      </c>
      <c r="E25" s="45" t="s">
        <v>2485</v>
      </c>
      <c r="F25" s="46" t="s">
        <v>2486</v>
      </c>
      <c r="G25" s="46" t="s">
        <v>517</v>
      </c>
      <c r="H25" s="46" t="s">
        <v>437</v>
      </c>
      <c r="I25" s="298">
        <f>18351.78+2936.29</f>
        <v>21288.07</v>
      </c>
      <c r="J25" s="233">
        <v>38.99</v>
      </c>
      <c r="K25" s="297">
        <f>+I25/J25</f>
        <v>545.9879456270838</v>
      </c>
      <c r="L25" s="46">
        <v>60</v>
      </c>
      <c r="M25" s="47">
        <f>IF(AND(I25&lt;&gt;0,L25&lt;&gt;0),I25/L25,0)</f>
        <v>354.8011666666667</v>
      </c>
      <c r="N25" s="234">
        <f ca="1" t="shared" si="2"/>
        <v>119</v>
      </c>
      <c r="O25" s="33">
        <v>1</v>
      </c>
      <c r="P25" s="45" t="s">
        <v>325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</row>
    <row r="26" spans="2:47" s="37" customFormat="1" ht="39.75" customHeight="1">
      <c r="B26" s="44">
        <v>40997</v>
      </c>
      <c r="C26" s="46" t="s">
        <v>2484</v>
      </c>
      <c r="D26" s="2" t="s">
        <v>2946</v>
      </c>
      <c r="E26" s="45" t="s">
        <v>2485</v>
      </c>
      <c r="F26" s="46" t="s">
        <v>2487</v>
      </c>
      <c r="G26" s="46" t="s">
        <v>517</v>
      </c>
      <c r="H26" s="46" t="s">
        <v>437</v>
      </c>
      <c r="I26" s="298">
        <f>18351.78+2936.28</f>
        <v>21288.059999999998</v>
      </c>
      <c r="J26" s="233">
        <v>38.99</v>
      </c>
      <c r="K26" s="297">
        <f>+I26/J26</f>
        <v>545.9876891510643</v>
      </c>
      <c r="L26" s="46">
        <v>60</v>
      </c>
      <c r="M26" s="47">
        <f>IF(AND(I26&lt;&gt;0,L26&lt;&gt;0),I26/L26,0)</f>
        <v>354.801</v>
      </c>
      <c r="N26" s="234">
        <f ca="1" t="shared" si="2"/>
        <v>119</v>
      </c>
      <c r="O26" s="33">
        <v>1</v>
      </c>
      <c r="P26" s="45" t="s">
        <v>325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</row>
    <row r="27" spans="2:47" s="37" customFormat="1" ht="39.75" customHeight="1">
      <c r="B27" s="308">
        <v>40997</v>
      </c>
      <c r="C27" s="309" t="s">
        <v>2488</v>
      </c>
      <c r="D27" s="290" t="s">
        <v>2947</v>
      </c>
      <c r="E27" s="310" t="s">
        <v>2489</v>
      </c>
      <c r="F27" s="309" t="s">
        <v>2490</v>
      </c>
      <c r="G27" s="309" t="s">
        <v>2627</v>
      </c>
      <c r="H27" s="309" t="s">
        <v>437</v>
      </c>
      <c r="I27" s="311">
        <f>48021+7683.36</f>
        <v>55704.36</v>
      </c>
      <c r="J27" s="312">
        <v>38.99</v>
      </c>
      <c r="K27" s="313">
        <f>+I27/J27</f>
        <v>1428.6832521159272</v>
      </c>
      <c r="L27" s="309">
        <v>60</v>
      </c>
      <c r="M27" s="314">
        <f>IF(AND(I27&lt;&gt;0,L27&lt;&gt;0),I27/L27,0)</f>
        <v>928.4060000000001</v>
      </c>
      <c r="N27" s="315">
        <f ca="1" t="shared" si="2"/>
        <v>119</v>
      </c>
      <c r="O27" s="296">
        <v>1</v>
      </c>
      <c r="P27" s="310" t="s">
        <v>62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</row>
    <row r="28" spans="2:47" s="37" customFormat="1" ht="39.75" customHeight="1">
      <c r="B28" s="308">
        <v>40997</v>
      </c>
      <c r="C28" s="309" t="s">
        <v>2488</v>
      </c>
      <c r="D28" s="290" t="s">
        <v>2948</v>
      </c>
      <c r="E28" s="310" t="s">
        <v>2489</v>
      </c>
      <c r="F28" s="309" t="s">
        <v>2492</v>
      </c>
      <c r="G28" s="309" t="s">
        <v>2491</v>
      </c>
      <c r="H28" s="309" t="s">
        <v>437</v>
      </c>
      <c r="I28" s="311">
        <f aca="true" t="shared" si="3" ref="I28:I34">48021+7683.36</f>
        <v>55704.36</v>
      </c>
      <c r="J28" s="312">
        <v>38.99</v>
      </c>
      <c r="K28" s="313">
        <f aca="true" t="shared" si="4" ref="K28:K51">+I28/J28</f>
        <v>1428.6832521159272</v>
      </c>
      <c r="L28" s="309">
        <v>60</v>
      </c>
      <c r="M28" s="314">
        <f aca="true" t="shared" si="5" ref="M28:M51">IF(AND(I28&lt;&gt;0,L28&lt;&gt;0),I28/L28,0)</f>
        <v>928.4060000000001</v>
      </c>
      <c r="N28" s="315">
        <f ca="1" t="shared" si="2"/>
        <v>119</v>
      </c>
      <c r="O28" s="296">
        <v>1</v>
      </c>
      <c r="P28" s="310" t="s">
        <v>62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</row>
    <row r="29" spans="2:47" s="37" customFormat="1" ht="39.75" customHeight="1">
      <c r="B29" s="308">
        <v>40997</v>
      </c>
      <c r="C29" s="309" t="s">
        <v>2488</v>
      </c>
      <c r="D29" s="290" t="s">
        <v>2949</v>
      </c>
      <c r="E29" s="310" t="s">
        <v>2489</v>
      </c>
      <c r="F29" s="309" t="s">
        <v>2493</v>
      </c>
      <c r="G29" s="309" t="s">
        <v>3477</v>
      </c>
      <c r="H29" s="309" t="s">
        <v>437</v>
      </c>
      <c r="I29" s="311">
        <f t="shared" si="3"/>
        <v>55704.36</v>
      </c>
      <c r="J29" s="312">
        <v>38.99</v>
      </c>
      <c r="K29" s="313">
        <f t="shared" si="4"/>
        <v>1428.6832521159272</v>
      </c>
      <c r="L29" s="309">
        <v>60</v>
      </c>
      <c r="M29" s="314">
        <f t="shared" si="5"/>
        <v>928.4060000000001</v>
      </c>
      <c r="N29" s="315">
        <f ca="1" t="shared" si="2"/>
        <v>119</v>
      </c>
      <c r="O29" s="296">
        <v>1</v>
      </c>
      <c r="P29" s="310" t="s">
        <v>62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</row>
    <row r="30" spans="2:47" s="37" customFormat="1" ht="39.75" customHeight="1">
      <c r="B30" s="308">
        <v>40997</v>
      </c>
      <c r="C30" s="309" t="s">
        <v>2488</v>
      </c>
      <c r="D30" s="290" t="s">
        <v>2951</v>
      </c>
      <c r="E30" s="310" t="s">
        <v>2489</v>
      </c>
      <c r="F30" s="309" t="s">
        <v>2494</v>
      </c>
      <c r="G30" s="309" t="s">
        <v>517</v>
      </c>
      <c r="H30" s="309" t="s">
        <v>437</v>
      </c>
      <c r="I30" s="311">
        <f t="shared" si="3"/>
        <v>55704.36</v>
      </c>
      <c r="J30" s="312">
        <v>38.99</v>
      </c>
      <c r="K30" s="313">
        <f t="shared" si="4"/>
        <v>1428.6832521159272</v>
      </c>
      <c r="L30" s="309">
        <v>60</v>
      </c>
      <c r="M30" s="314">
        <f t="shared" si="5"/>
        <v>928.4060000000001</v>
      </c>
      <c r="N30" s="315">
        <f ca="1" t="shared" si="2"/>
        <v>119</v>
      </c>
      <c r="O30" s="296">
        <v>1</v>
      </c>
      <c r="P30" s="310" t="s">
        <v>62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</row>
    <row r="31" spans="2:47" s="37" customFormat="1" ht="39.75" customHeight="1">
      <c r="B31" s="308">
        <v>40997</v>
      </c>
      <c r="C31" s="309" t="s">
        <v>2488</v>
      </c>
      <c r="D31" s="290" t="s">
        <v>2952</v>
      </c>
      <c r="E31" s="310" t="s">
        <v>2489</v>
      </c>
      <c r="F31" s="309" t="s">
        <v>2495</v>
      </c>
      <c r="G31" s="309" t="s">
        <v>517</v>
      </c>
      <c r="H31" s="309" t="s">
        <v>437</v>
      </c>
      <c r="I31" s="311">
        <f t="shared" si="3"/>
        <v>55704.36</v>
      </c>
      <c r="J31" s="312">
        <v>38.99</v>
      </c>
      <c r="K31" s="313">
        <f t="shared" si="4"/>
        <v>1428.6832521159272</v>
      </c>
      <c r="L31" s="309">
        <v>60</v>
      </c>
      <c r="M31" s="314">
        <f t="shared" si="5"/>
        <v>928.4060000000001</v>
      </c>
      <c r="N31" s="315">
        <f ca="1" t="shared" si="2"/>
        <v>119</v>
      </c>
      <c r="O31" s="296">
        <v>1</v>
      </c>
      <c r="P31" s="310" t="s">
        <v>62</v>
      </c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</row>
    <row r="32" spans="2:47" s="37" customFormat="1" ht="50.25" customHeight="1">
      <c r="B32" s="44">
        <v>40997</v>
      </c>
      <c r="C32" s="46" t="s">
        <v>2488</v>
      </c>
      <c r="D32" s="2" t="s">
        <v>2953</v>
      </c>
      <c r="E32" s="45" t="s">
        <v>2489</v>
      </c>
      <c r="F32" s="46" t="s">
        <v>2496</v>
      </c>
      <c r="G32" s="46" t="s">
        <v>2617</v>
      </c>
      <c r="H32" s="46" t="s">
        <v>2618</v>
      </c>
      <c r="I32" s="298">
        <f t="shared" si="3"/>
        <v>55704.36</v>
      </c>
      <c r="J32" s="233">
        <v>38.99</v>
      </c>
      <c r="K32" s="297">
        <f t="shared" si="4"/>
        <v>1428.6832521159272</v>
      </c>
      <c r="L32" s="46">
        <v>60</v>
      </c>
      <c r="M32" s="47">
        <f t="shared" si="5"/>
        <v>928.4060000000001</v>
      </c>
      <c r="N32" s="234">
        <f ca="1" t="shared" si="2"/>
        <v>119</v>
      </c>
      <c r="O32" s="33">
        <v>1</v>
      </c>
      <c r="P32" s="45" t="s">
        <v>62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</row>
    <row r="33" spans="2:47" s="37" customFormat="1" ht="62.25" customHeight="1">
      <c r="B33" s="44">
        <v>40997</v>
      </c>
      <c r="C33" s="46" t="s">
        <v>2488</v>
      </c>
      <c r="D33" s="2" t="s">
        <v>2954</v>
      </c>
      <c r="E33" s="45" t="s">
        <v>2489</v>
      </c>
      <c r="F33" s="46" t="s">
        <v>2497</v>
      </c>
      <c r="G33" s="46" t="s">
        <v>2617</v>
      </c>
      <c r="H33" s="46" t="s">
        <v>2618</v>
      </c>
      <c r="I33" s="298">
        <f t="shared" si="3"/>
        <v>55704.36</v>
      </c>
      <c r="J33" s="233">
        <v>38.99</v>
      </c>
      <c r="K33" s="297">
        <f t="shared" si="4"/>
        <v>1428.6832521159272</v>
      </c>
      <c r="L33" s="46">
        <v>60</v>
      </c>
      <c r="M33" s="47">
        <f t="shared" si="5"/>
        <v>928.4060000000001</v>
      </c>
      <c r="N33" s="234">
        <f ca="1" t="shared" si="2"/>
        <v>119</v>
      </c>
      <c r="O33" s="33">
        <v>1</v>
      </c>
      <c r="P33" s="45" t="s">
        <v>62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</row>
    <row r="34" spans="2:47" s="37" customFormat="1" ht="39.75" customHeight="1">
      <c r="B34" s="308">
        <v>40997</v>
      </c>
      <c r="C34" s="309" t="s">
        <v>2488</v>
      </c>
      <c r="D34" s="290" t="s">
        <v>2955</v>
      </c>
      <c r="E34" s="310" t="s">
        <v>2489</v>
      </c>
      <c r="F34" s="309" t="s">
        <v>2498</v>
      </c>
      <c r="G34" s="309" t="s">
        <v>3480</v>
      </c>
      <c r="H34" s="309" t="s">
        <v>437</v>
      </c>
      <c r="I34" s="311">
        <f t="shared" si="3"/>
        <v>55704.36</v>
      </c>
      <c r="J34" s="312">
        <v>38.99</v>
      </c>
      <c r="K34" s="313">
        <f t="shared" si="4"/>
        <v>1428.6832521159272</v>
      </c>
      <c r="L34" s="309">
        <v>60</v>
      </c>
      <c r="M34" s="314">
        <f t="shared" si="5"/>
        <v>928.4060000000001</v>
      </c>
      <c r="N34" s="315">
        <f ca="1" t="shared" si="2"/>
        <v>119</v>
      </c>
      <c r="O34" s="296">
        <v>1</v>
      </c>
      <c r="P34" s="310" t="s">
        <v>62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</row>
    <row r="35" spans="2:47" s="37" customFormat="1" ht="39.75" customHeight="1">
      <c r="B35" s="308">
        <v>40997</v>
      </c>
      <c r="C35" s="309" t="s">
        <v>2499</v>
      </c>
      <c r="D35" s="290" t="s">
        <v>2957</v>
      </c>
      <c r="E35" s="310" t="s">
        <v>2500</v>
      </c>
      <c r="F35" s="309" t="s">
        <v>2501</v>
      </c>
      <c r="G35" s="309" t="s">
        <v>2659</v>
      </c>
      <c r="H35" s="309" t="s">
        <v>437</v>
      </c>
      <c r="I35" s="311">
        <f>77716+12434.56</f>
        <v>90150.56</v>
      </c>
      <c r="J35" s="312">
        <v>38.99</v>
      </c>
      <c r="K35" s="313">
        <f t="shared" si="4"/>
        <v>2312.1456783790713</v>
      </c>
      <c r="L35" s="309">
        <v>60</v>
      </c>
      <c r="M35" s="314">
        <f t="shared" si="5"/>
        <v>1502.5093333333332</v>
      </c>
      <c r="N35" s="315">
        <f ca="1" t="shared" si="2"/>
        <v>119</v>
      </c>
      <c r="O35" s="296">
        <v>1</v>
      </c>
      <c r="P35" s="310" t="s">
        <v>62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</row>
    <row r="36" spans="2:47" s="37" customFormat="1" ht="39.75" customHeight="1">
      <c r="B36" s="44">
        <v>40997</v>
      </c>
      <c r="C36" s="46" t="s">
        <v>2499</v>
      </c>
      <c r="D36" s="2" t="s">
        <v>2938</v>
      </c>
      <c r="E36" s="45" t="s">
        <v>2500</v>
      </c>
      <c r="F36" s="46" t="s">
        <v>2502</v>
      </c>
      <c r="G36" s="46" t="s">
        <v>2503</v>
      </c>
      <c r="H36" s="46" t="s">
        <v>2504</v>
      </c>
      <c r="I36" s="298">
        <f>77716+12434.56</f>
        <v>90150.56</v>
      </c>
      <c r="J36" s="233">
        <v>38.99</v>
      </c>
      <c r="K36" s="297">
        <f t="shared" si="4"/>
        <v>2312.1456783790713</v>
      </c>
      <c r="L36" s="46">
        <v>60</v>
      </c>
      <c r="M36" s="47">
        <f t="shared" si="5"/>
        <v>1502.5093333333332</v>
      </c>
      <c r="N36" s="234">
        <f aca="true" ca="1" t="shared" si="6" ref="N36:N54">IF(B36&lt;&gt;0,(ROUND((NOW()-B36)/30,0)),0)</f>
        <v>119</v>
      </c>
      <c r="O36" s="33">
        <v>1</v>
      </c>
      <c r="P36" s="45" t="s">
        <v>62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</row>
    <row r="37" spans="2:47" s="37" customFormat="1" ht="39.75" customHeight="1">
      <c r="B37" s="44">
        <v>41028</v>
      </c>
      <c r="C37" s="46" t="s">
        <v>108</v>
      </c>
      <c r="D37" s="2" t="s">
        <v>2959</v>
      </c>
      <c r="E37" s="45" t="s">
        <v>3004</v>
      </c>
      <c r="F37" s="202" t="s">
        <v>2505</v>
      </c>
      <c r="G37" s="46" t="s">
        <v>517</v>
      </c>
      <c r="H37" s="46" t="s">
        <v>2506</v>
      </c>
      <c r="I37" s="298">
        <f>12215.52+6219.83+6143.42+552.93+4021.07</f>
        <v>29152.769999999997</v>
      </c>
      <c r="J37" s="233">
        <v>38.99</v>
      </c>
      <c r="K37" s="297">
        <f t="shared" si="4"/>
        <v>747.6986406770966</v>
      </c>
      <c r="L37" s="46">
        <v>60</v>
      </c>
      <c r="M37" s="47">
        <f t="shared" si="5"/>
        <v>485.87949999999995</v>
      </c>
      <c r="N37" s="234">
        <f ca="1" t="shared" si="6"/>
        <v>118</v>
      </c>
      <c r="O37" s="33">
        <v>1</v>
      </c>
      <c r="P37" s="45" t="s">
        <v>273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</row>
    <row r="38" spans="2:47" s="37" customFormat="1" ht="39.75" customHeight="1">
      <c r="B38" s="308">
        <v>41028</v>
      </c>
      <c r="C38" s="309" t="s">
        <v>108</v>
      </c>
      <c r="D38" s="290" t="s">
        <v>2960</v>
      </c>
      <c r="E38" s="310" t="s">
        <v>3004</v>
      </c>
      <c r="F38" s="316" t="s">
        <v>2507</v>
      </c>
      <c r="G38" s="309" t="s">
        <v>517</v>
      </c>
      <c r="H38" s="309" t="s">
        <v>437</v>
      </c>
      <c r="I38" s="311">
        <f>12215.52+6219.83+6143.42+552.93+4021.07</f>
        <v>29152.769999999997</v>
      </c>
      <c r="J38" s="312">
        <v>38.99</v>
      </c>
      <c r="K38" s="313">
        <f t="shared" si="4"/>
        <v>747.6986406770966</v>
      </c>
      <c r="L38" s="309">
        <v>60</v>
      </c>
      <c r="M38" s="314">
        <f t="shared" si="5"/>
        <v>485.87949999999995</v>
      </c>
      <c r="N38" s="315">
        <f ca="1" t="shared" si="6"/>
        <v>118</v>
      </c>
      <c r="O38" s="296">
        <v>1</v>
      </c>
      <c r="P38" s="310" t="s">
        <v>273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</row>
    <row r="39" spans="2:47" s="246" customFormat="1" ht="39.75" customHeight="1">
      <c r="B39" s="308">
        <v>41028</v>
      </c>
      <c r="C39" s="309" t="s">
        <v>108</v>
      </c>
      <c r="D39" s="290" t="s">
        <v>2961</v>
      </c>
      <c r="E39" s="310" t="s">
        <v>3004</v>
      </c>
      <c r="F39" s="316" t="s">
        <v>2508</v>
      </c>
      <c r="G39" s="309" t="s">
        <v>517</v>
      </c>
      <c r="H39" s="309" t="s">
        <v>437</v>
      </c>
      <c r="I39" s="311">
        <f>12215.52+6219.83+6143.42+552.93+4021.07</f>
        <v>29152.769999999997</v>
      </c>
      <c r="J39" s="312">
        <v>38.99</v>
      </c>
      <c r="K39" s="313">
        <f t="shared" si="4"/>
        <v>747.6986406770966</v>
      </c>
      <c r="L39" s="309">
        <v>60</v>
      </c>
      <c r="M39" s="314">
        <f t="shared" si="5"/>
        <v>485.87949999999995</v>
      </c>
      <c r="N39" s="315">
        <f ca="1" t="shared" si="6"/>
        <v>118</v>
      </c>
      <c r="O39" s="296">
        <v>1</v>
      </c>
      <c r="P39" s="310" t="s">
        <v>273</v>
      </c>
      <c r="Q39" s="461"/>
      <c r="R39" s="461"/>
      <c r="S39" s="461"/>
      <c r="T39" s="461"/>
      <c r="U39" s="461"/>
      <c r="V39" s="461"/>
      <c r="W39" s="461"/>
      <c r="X39" s="461"/>
      <c r="Y39" s="461"/>
      <c r="Z39" s="461"/>
      <c r="AA39" s="461"/>
      <c r="AB39" s="461"/>
      <c r="AC39" s="461"/>
      <c r="AD39" s="461"/>
      <c r="AE39" s="461"/>
      <c r="AF39" s="461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</row>
    <row r="40" spans="2:47" s="37" customFormat="1" ht="39.75" customHeight="1">
      <c r="B40" s="308">
        <v>41028</v>
      </c>
      <c r="C40" s="309" t="s">
        <v>108</v>
      </c>
      <c r="D40" s="290" t="s">
        <v>2962</v>
      </c>
      <c r="E40" s="310" t="s">
        <v>3004</v>
      </c>
      <c r="F40" s="316" t="s">
        <v>2509</v>
      </c>
      <c r="G40" s="309" t="s">
        <v>517</v>
      </c>
      <c r="H40" s="309" t="s">
        <v>437</v>
      </c>
      <c r="I40" s="311">
        <f>12215.52+6219.83+6143.42+552.93+4021.07</f>
        <v>29152.769999999997</v>
      </c>
      <c r="J40" s="312">
        <v>38.99</v>
      </c>
      <c r="K40" s="313">
        <f t="shared" si="4"/>
        <v>747.6986406770966</v>
      </c>
      <c r="L40" s="309">
        <v>60</v>
      </c>
      <c r="M40" s="314">
        <f t="shared" si="5"/>
        <v>485.87949999999995</v>
      </c>
      <c r="N40" s="315">
        <f ca="1" t="shared" si="6"/>
        <v>118</v>
      </c>
      <c r="O40" s="296">
        <v>1</v>
      </c>
      <c r="P40" s="310" t="s">
        <v>273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</row>
    <row r="41" spans="2:47" s="37" customFormat="1" ht="39.75" customHeight="1">
      <c r="B41" s="308">
        <v>41028</v>
      </c>
      <c r="C41" s="309" t="s">
        <v>108</v>
      </c>
      <c r="D41" s="290" t="s">
        <v>2963</v>
      </c>
      <c r="E41" s="310" t="s">
        <v>3004</v>
      </c>
      <c r="F41" s="316" t="s">
        <v>2510</v>
      </c>
      <c r="G41" s="309" t="s">
        <v>517</v>
      </c>
      <c r="H41" s="309" t="s">
        <v>437</v>
      </c>
      <c r="I41" s="311">
        <f>12215.52+6219.83+6143.42+552.93+4021.07</f>
        <v>29152.769999999997</v>
      </c>
      <c r="J41" s="312">
        <v>38.99</v>
      </c>
      <c r="K41" s="313">
        <f t="shared" si="4"/>
        <v>747.6986406770966</v>
      </c>
      <c r="L41" s="309">
        <v>60</v>
      </c>
      <c r="M41" s="314">
        <f t="shared" si="5"/>
        <v>485.87949999999995</v>
      </c>
      <c r="N41" s="315">
        <f ca="1" t="shared" si="6"/>
        <v>118</v>
      </c>
      <c r="O41" s="296">
        <v>1</v>
      </c>
      <c r="P41" s="310" t="s">
        <v>273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</row>
    <row r="42" spans="2:47" s="37" customFormat="1" ht="39.75" customHeight="1">
      <c r="B42" s="44">
        <v>41030</v>
      </c>
      <c r="C42" s="46" t="s">
        <v>2511</v>
      </c>
      <c r="D42" s="2" t="s">
        <v>2964</v>
      </c>
      <c r="E42" s="45" t="s">
        <v>2512</v>
      </c>
      <c r="F42" s="202" t="s">
        <v>42</v>
      </c>
      <c r="G42" s="46" t="s">
        <v>517</v>
      </c>
      <c r="H42" s="46" t="s">
        <v>437</v>
      </c>
      <c r="I42" s="298">
        <f>7995+1279.2</f>
        <v>9274.2</v>
      </c>
      <c r="J42" s="233">
        <v>38.99</v>
      </c>
      <c r="K42" s="297">
        <f t="shared" si="4"/>
        <v>237.86098999743524</v>
      </c>
      <c r="L42" s="46">
        <v>60</v>
      </c>
      <c r="M42" s="47">
        <f t="shared" si="5"/>
        <v>154.57000000000002</v>
      </c>
      <c r="N42" s="234">
        <f ca="1" t="shared" si="6"/>
        <v>118</v>
      </c>
      <c r="O42" s="33">
        <v>1</v>
      </c>
      <c r="P42" s="45" t="s">
        <v>389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</row>
    <row r="43" spans="2:47" s="37" customFormat="1" ht="39.75" customHeight="1">
      <c r="B43" s="44">
        <v>41030</v>
      </c>
      <c r="C43" s="46" t="s">
        <v>2511</v>
      </c>
      <c r="D43" s="2" t="s">
        <v>2965</v>
      </c>
      <c r="E43" s="45" t="s">
        <v>2513</v>
      </c>
      <c r="F43" s="202" t="s">
        <v>42</v>
      </c>
      <c r="G43" s="46" t="s">
        <v>2924</v>
      </c>
      <c r="H43" s="46" t="s">
        <v>437</v>
      </c>
      <c r="I43" s="298">
        <f>4300+688</f>
        <v>4988</v>
      </c>
      <c r="J43" s="233">
        <v>38.99</v>
      </c>
      <c r="K43" s="297">
        <f t="shared" si="4"/>
        <v>127.93023852269812</v>
      </c>
      <c r="L43" s="46">
        <v>60</v>
      </c>
      <c r="M43" s="47">
        <f t="shared" si="5"/>
        <v>83.13333333333334</v>
      </c>
      <c r="N43" s="234">
        <f ca="1" t="shared" si="6"/>
        <v>118</v>
      </c>
      <c r="O43" s="33">
        <v>1</v>
      </c>
      <c r="P43" s="45" t="s">
        <v>389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</row>
    <row r="44" spans="2:47" s="37" customFormat="1" ht="39.75" customHeight="1">
      <c r="B44" s="44">
        <v>41030</v>
      </c>
      <c r="C44" s="46" t="s">
        <v>2511</v>
      </c>
      <c r="D44" s="2" t="s">
        <v>3494</v>
      </c>
      <c r="E44" s="45" t="s">
        <v>2514</v>
      </c>
      <c r="F44" s="202" t="s">
        <v>2515</v>
      </c>
      <c r="G44" s="46" t="s">
        <v>3493</v>
      </c>
      <c r="H44" s="46" t="s">
        <v>437</v>
      </c>
      <c r="I44" s="298">
        <f>5800+928</f>
        <v>6728</v>
      </c>
      <c r="J44" s="233">
        <v>38.99</v>
      </c>
      <c r="K44" s="297">
        <f t="shared" si="4"/>
        <v>172.557065914337</v>
      </c>
      <c r="L44" s="46">
        <v>60</v>
      </c>
      <c r="M44" s="47">
        <f t="shared" si="5"/>
        <v>112.13333333333334</v>
      </c>
      <c r="N44" s="234">
        <f ca="1" t="shared" si="6"/>
        <v>118</v>
      </c>
      <c r="O44" s="33">
        <v>1</v>
      </c>
      <c r="P44" s="45" t="s">
        <v>389</v>
      </c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</row>
    <row r="45" spans="2:47" s="37" customFormat="1" ht="39.75" customHeight="1">
      <c r="B45" s="44">
        <v>41030</v>
      </c>
      <c r="C45" s="46" t="s">
        <v>2511</v>
      </c>
      <c r="D45" s="2" t="s">
        <v>3495</v>
      </c>
      <c r="E45" s="45" t="s">
        <v>2514</v>
      </c>
      <c r="F45" s="202" t="s">
        <v>2516</v>
      </c>
      <c r="G45" s="46" t="s">
        <v>2517</v>
      </c>
      <c r="H45" s="46" t="s">
        <v>437</v>
      </c>
      <c r="I45" s="298">
        <f>5800+928</f>
        <v>6728</v>
      </c>
      <c r="J45" s="233">
        <v>38.99</v>
      </c>
      <c r="K45" s="297">
        <f t="shared" si="4"/>
        <v>172.557065914337</v>
      </c>
      <c r="L45" s="46">
        <v>60</v>
      </c>
      <c r="M45" s="47">
        <f t="shared" si="5"/>
        <v>112.13333333333334</v>
      </c>
      <c r="N45" s="234">
        <f ca="1" t="shared" si="6"/>
        <v>118</v>
      </c>
      <c r="O45" s="33">
        <v>1</v>
      </c>
      <c r="P45" s="45" t="s">
        <v>389</v>
      </c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</row>
    <row r="46" spans="2:47" s="37" customFormat="1" ht="39.75" customHeight="1">
      <c r="B46" s="44">
        <v>41614</v>
      </c>
      <c r="C46" s="46" t="s">
        <v>2518</v>
      </c>
      <c r="D46" s="2" t="s">
        <v>3496</v>
      </c>
      <c r="E46" s="34" t="s">
        <v>2616</v>
      </c>
      <c r="F46" s="46" t="s">
        <v>3471</v>
      </c>
      <c r="G46" s="46" t="s">
        <v>517</v>
      </c>
      <c r="H46" s="46" t="s">
        <v>437</v>
      </c>
      <c r="I46" s="35">
        <v>73254.4</v>
      </c>
      <c r="J46" s="35">
        <v>42.53</v>
      </c>
      <c r="K46" s="297">
        <f t="shared" si="4"/>
        <v>1722.4171173289442</v>
      </c>
      <c r="L46" s="46">
        <v>60</v>
      </c>
      <c r="M46" s="47">
        <f t="shared" si="5"/>
        <v>1220.9066666666665</v>
      </c>
      <c r="N46" s="234">
        <f ca="1" t="shared" si="6"/>
        <v>98</v>
      </c>
      <c r="O46" s="33">
        <v>1</v>
      </c>
      <c r="P46" s="45" t="s">
        <v>64</v>
      </c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</row>
    <row r="47" spans="2:47" s="37" customFormat="1" ht="39.75" customHeight="1">
      <c r="B47" s="44">
        <v>41621</v>
      </c>
      <c r="C47" s="46" t="s">
        <v>2519</v>
      </c>
      <c r="D47" s="2" t="s">
        <v>3006</v>
      </c>
      <c r="E47" s="34" t="s">
        <v>2520</v>
      </c>
      <c r="F47" s="46" t="s">
        <v>42</v>
      </c>
      <c r="G47" s="2" t="s">
        <v>3486</v>
      </c>
      <c r="H47" s="46" t="s">
        <v>437</v>
      </c>
      <c r="I47" s="35">
        <f>31470.6/7</f>
        <v>4495.8</v>
      </c>
      <c r="J47" s="35">
        <v>42.56</v>
      </c>
      <c r="K47" s="297">
        <f t="shared" si="4"/>
        <v>105.6343984962406</v>
      </c>
      <c r="L47" s="46">
        <v>60</v>
      </c>
      <c r="M47" s="47">
        <f t="shared" si="5"/>
        <v>74.93</v>
      </c>
      <c r="N47" s="234">
        <f ca="1" t="shared" si="6"/>
        <v>98</v>
      </c>
      <c r="O47" s="33">
        <v>1</v>
      </c>
      <c r="P47" s="45" t="s">
        <v>2521</v>
      </c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</row>
    <row r="48" spans="2:47" s="37" customFormat="1" ht="39.75" customHeight="1">
      <c r="B48" s="44">
        <v>41621</v>
      </c>
      <c r="C48" s="46" t="s">
        <v>2519</v>
      </c>
      <c r="D48" s="2" t="s">
        <v>3007</v>
      </c>
      <c r="E48" s="34" t="s">
        <v>2520</v>
      </c>
      <c r="F48" s="46" t="s">
        <v>42</v>
      </c>
      <c r="G48" s="46" t="s">
        <v>81</v>
      </c>
      <c r="H48" s="46" t="s">
        <v>437</v>
      </c>
      <c r="I48" s="35">
        <f>31470.6/7</f>
        <v>4495.8</v>
      </c>
      <c r="J48" s="35">
        <v>42.56</v>
      </c>
      <c r="K48" s="297">
        <f t="shared" si="4"/>
        <v>105.6343984962406</v>
      </c>
      <c r="L48" s="46">
        <v>60</v>
      </c>
      <c r="M48" s="47">
        <f t="shared" si="5"/>
        <v>74.93</v>
      </c>
      <c r="N48" s="234">
        <f ca="1" t="shared" si="6"/>
        <v>98</v>
      </c>
      <c r="O48" s="33">
        <v>1</v>
      </c>
      <c r="P48" s="45" t="s">
        <v>2521</v>
      </c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</row>
    <row r="49" spans="2:47" s="37" customFormat="1" ht="39.75" customHeight="1">
      <c r="B49" s="44">
        <v>41621</v>
      </c>
      <c r="C49" s="46" t="s">
        <v>2519</v>
      </c>
      <c r="D49" s="2" t="s">
        <v>3008</v>
      </c>
      <c r="E49" s="34" t="s">
        <v>2520</v>
      </c>
      <c r="F49" s="46" t="s">
        <v>42</v>
      </c>
      <c r="G49" s="46" t="s">
        <v>340</v>
      </c>
      <c r="H49" s="46" t="s">
        <v>437</v>
      </c>
      <c r="I49" s="35">
        <f>31470.6/7</f>
        <v>4495.8</v>
      </c>
      <c r="J49" s="35">
        <v>42.56</v>
      </c>
      <c r="K49" s="297">
        <f t="shared" si="4"/>
        <v>105.6343984962406</v>
      </c>
      <c r="L49" s="46">
        <v>60</v>
      </c>
      <c r="M49" s="47">
        <f t="shared" si="5"/>
        <v>74.93</v>
      </c>
      <c r="N49" s="234">
        <f ca="1" t="shared" si="6"/>
        <v>98</v>
      </c>
      <c r="O49" s="33">
        <v>1</v>
      </c>
      <c r="P49" s="45" t="s">
        <v>2521</v>
      </c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</row>
    <row r="50" spans="2:47" s="37" customFormat="1" ht="39.75" customHeight="1">
      <c r="B50" s="44">
        <v>41621</v>
      </c>
      <c r="C50" s="46" t="s">
        <v>2519</v>
      </c>
      <c r="D50" s="2" t="s">
        <v>3009</v>
      </c>
      <c r="E50" s="34" t="s">
        <v>2520</v>
      </c>
      <c r="F50" s="46" t="s">
        <v>42</v>
      </c>
      <c r="G50" s="2" t="s">
        <v>3486</v>
      </c>
      <c r="H50" s="46" t="s">
        <v>437</v>
      </c>
      <c r="I50" s="35">
        <f>31470.6/7</f>
        <v>4495.8</v>
      </c>
      <c r="J50" s="35">
        <v>42.56</v>
      </c>
      <c r="K50" s="297">
        <f t="shared" si="4"/>
        <v>105.6343984962406</v>
      </c>
      <c r="L50" s="46">
        <v>60</v>
      </c>
      <c r="M50" s="47">
        <f t="shared" si="5"/>
        <v>74.93</v>
      </c>
      <c r="N50" s="234">
        <f ca="1" t="shared" si="6"/>
        <v>98</v>
      </c>
      <c r="O50" s="33">
        <v>1</v>
      </c>
      <c r="P50" s="45" t="s">
        <v>2521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</row>
    <row r="51" spans="2:47" s="37" customFormat="1" ht="39.75" customHeight="1">
      <c r="B51" s="44">
        <v>41621</v>
      </c>
      <c r="C51" s="46" t="s">
        <v>2519</v>
      </c>
      <c r="D51" s="2" t="s">
        <v>3010</v>
      </c>
      <c r="E51" s="34" t="s">
        <v>2520</v>
      </c>
      <c r="F51" s="46" t="s">
        <v>42</v>
      </c>
      <c r="G51" s="2" t="s">
        <v>3486</v>
      </c>
      <c r="H51" s="46" t="s">
        <v>437</v>
      </c>
      <c r="I51" s="35">
        <f>31470.6/7</f>
        <v>4495.8</v>
      </c>
      <c r="J51" s="35">
        <v>42.56</v>
      </c>
      <c r="K51" s="297">
        <f t="shared" si="4"/>
        <v>105.6343984962406</v>
      </c>
      <c r="L51" s="46">
        <v>60</v>
      </c>
      <c r="M51" s="47">
        <f t="shared" si="5"/>
        <v>74.93</v>
      </c>
      <c r="N51" s="234">
        <f ca="1" t="shared" si="6"/>
        <v>98</v>
      </c>
      <c r="O51" s="33">
        <v>1</v>
      </c>
      <c r="P51" s="45" t="s">
        <v>2521</v>
      </c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</row>
    <row r="52" spans="2:47" s="37" customFormat="1" ht="39.75" customHeight="1">
      <c r="B52" s="44">
        <v>41654</v>
      </c>
      <c r="C52" s="46" t="s">
        <v>356</v>
      </c>
      <c r="D52" s="2" t="s">
        <v>2976</v>
      </c>
      <c r="E52" s="34" t="s">
        <v>3003</v>
      </c>
      <c r="F52" s="46" t="s">
        <v>2522</v>
      </c>
      <c r="G52" s="46" t="s">
        <v>2925</v>
      </c>
      <c r="H52" s="46" t="s">
        <v>437</v>
      </c>
      <c r="I52" s="35">
        <v>563650.01</v>
      </c>
      <c r="J52" s="35">
        <v>42.85</v>
      </c>
      <c r="K52" s="297">
        <f>+I52/J52</f>
        <v>13154.025904317386</v>
      </c>
      <c r="L52" s="46">
        <v>60</v>
      </c>
      <c r="M52" s="47">
        <f>IF(AND(I52&lt;&gt;0,L52&lt;&gt;0),I52/L52,0)</f>
        <v>9394.166833333333</v>
      </c>
      <c r="N52" s="234">
        <f ca="1" t="shared" si="6"/>
        <v>97</v>
      </c>
      <c r="O52" s="33">
        <v>1</v>
      </c>
      <c r="P52" s="45" t="s">
        <v>322</v>
      </c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</row>
    <row r="53" spans="2:47" s="37" customFormat="1" ht="48" customHeight="1">
      <c r="B53" s="44">
        <v>41663</v>
      </c>
      <c r="C53" s="46" t="s">
        <v>2523</v>
      </c>
      <c r="D53" s="2" t="s">
        <v>2939</v>
      </c>
      <c r="E53" s="34" t="s">
        <v>2524</v>
      </c>
      <c r="F53" s="46" t="s">
        <v>2525</v>
      </c>
      <c r="G53" s="46" t="s">
        <v>2526</v>
      </c>
      <c r="H53" s="46" t="s">
        <v>2527</v>
      </c>
      <c r="I53" s="35">
        <v>36200.02</v>
      </c>
      <c r="J53" s="35">
        <v>42.95</v>
      </c>
      <c r="K53" s="297">
        <f>+I53/J53</f>
        <v>842.8409778812571</v>
      </c>
      <c r="L53" s="46">
        <v>60</v>
      </c>
      <c r="M53" s="47">
        <f>IF(AND(I53&lt;&gt;0,L53&lt;&gt;0),I53/L53,0)</f>
        <v>603.3336666666667</v>
      </c>
      <c r="N53" s="234">
        <f ca="1" t="shared" si="6"/>
        <v>97</v>
      </c>
      <c r="O53" s="33">
        <v>1</v>
      </c>
      <c r="P53" s="45" t="s">
        <v>2528</v>
      </c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</row>
    <row r="54" spans="2:47" s="37" customFormat="1" ht="39.75" customHeight="1">
      <c r="B54" s="44">
        <v>41666</v>
      </c>
      <c r="C54" s="46" t="s">
        <v>2529</v>
      </c>
      <c r="D54" s="2" t="s">
        <v>2978</v>
      </c>
      <c r="E54" s="34" t="s">
        <v>3466</v>
      </c>
      <c r="F54" s="46" t="s">
        <v>2530</v>
      </c>
      <c r="G54" s="46" t="s">
        <v>452</v>
      </c>
      <c r="H54" s="46" t="s">
        <v>437</v>
      </c>
      <c r="I54" s="35">
        <v>324818.6</v>
      </c>
      <c r="J54" s="35">
        <v>42.98</v>
      </c>
      <c r="K54" s="297">
        <f>+I54/J54</f>
        <v>7557.436016751978</v>
      </c>
      <c r="L54" s="46">
        <v>60</v>
      </c>
      <c r="M54" s="47">
        <f>IF(AND(I54&lt;&gt;0,L54&lt;&gt;0),I54/L54,0)</f>
        <v>5413.6433333333325</v>
      </c>
      <c r="N54" s="234">
        <f ca="1" t="shared" si="6"/>
        <v>97</v>
      </c>
      <c r="O54" s="33">
        <v>1</v>
      </c>
      <c r="P54" s="45" t="s">
        <v>64</v>
      </c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</row>
    <row r="55" spans="2:47" s="37" customFormat="1" ht="39.75" customHeight="1">
      <c r="B55" s="25">
        <v>41682</v>
      </c>
      <c r="C55" s="2" t="s">
        <v>2531</v>
      </c>
      <c r="D55" s="2" t="s">
        <v>2940</v>
      </c>
      <c r="E55" s="26" t="s">
        <v>2532</v>
      </c>
      <c r="F55" s="2" t="s">
        <v>2533</v>
      </c>
      <c r="G55" s="2" t="s">
        <v>2534</v>
      </c>
      <c r="H55" s="2" t="s">
        <v>2535</v>
      </c>
      <c r="I55" s="203">
        <v>6230.4</v>
      </c>
      <c r="J55" s="203">
        <v>43.1</v>
      </c>
      <c r="K55" s="302">
        <f aca="true" t="shared" si="7" ref="K55:K81">+I55/J55</f>
        <v>144.5568445475638</v>
      </c>
      <c r="L55" s="2">
        <v>60</v>
      </c>
      <c r="M55" s="13">
        <f aca="true" t="shared" si="8" ref="M55:M81">IF(AND(I55&lt;&gt;0,L55&lt;&gt;0),I55/L55,0)</f>
        <v>103.83999999999999</v>
      </c>
      <c r="N55" s="220">
        <f aca="true" ca="1" t="shared" si="9" ref="N55:N81">IF(B55&lt;&gt;0,(ROUND((NOW()-B55)/30,0)),0)</f>
        <v>96</v>
      </c>
      <c r="O55" s="33">
        <v>1</v>
      </c>
      <c r="P55" s="1" t="s">
        <v>2536</v>
      </c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</row>
    <row r="56" spans="2:47" s="37" customFormat="1" ht="39.75" customHeight="1">
      <c r="B56" s="25">
        <v>41682</v>
      </c>
      <c r="C56" s="2" t="s">
        <v>2531</v>
      </c>
      <c r="D56" s="2" t="s">
        <v>2941</v>
      </c>
      <c r="E56" s="26" t="s">
        <v>2532</v>
      </c>
      <c r="F56" s="2" t="s">
        <v>2537</v>
      </c>
      <c r="G56" s="2" t="s">
        <v>2538</v>
      </c>
      <c r="H56" s="2" t="s">
        <v>2539</v>
      </c>
      <c r="I56" s="203">
        <v>6230.4</v>
      </c>
      <c r="J56" s="203">
        <v>43.1</v>
      </c>
      <c r="K56" s="302">
        <f t="shared" si="7"/>
        <v>144.5568445475638</v>
      </c>
      <c r="L56" s="2">
        <v>60</v>
      </c>
      <c r="M56" s="13">
        <f t="shared" si="8"/>
        <v>103.83999999999999</v>
      </c>
      <c r="N56" s="220">
        <f ca="1" t="shared" si="9"/>
        <v>96</v>
      </c>
      <c r="O56" s="33">
        <v>1</v>
      </c>
      <c r="P56" s="1" t="s">
        <v>2536</v>
      </c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</row>
    <row r="57" spans="2:47" s="37" customFormat="1" ht="39.75" customHeight="1">
      <c r="B57" s="25">
        <v>41682</v>
      </c>
      <c r="C57" s="2" t="s">
        <v>2531</v>
      </c>
      <c r="D57" s="2" t="s">
        <v>2942</v>
      </c>
      <c r="E57" s="26" t="s">
        <v>2532</v>
      </c>
      <c r="F57" s="2" t="s">
        <v>2540</v>
      </c>
      <c r="G57" s="2" t="s">
        <v>2526</v>
      </c>
      <c r="H57" s="2" t="s">
        <v>2527</v>
      </c>
      <c r="I57" s="203">
        <v>6230.4</v>
      </c>
      <c r="J57" s="203">
        <v>43.1</v>
      </c>
      <c r="K57" s="302">
        <f t="shared" si="7"/>
        <v>144.5568445475638</v>
      </c>
      <c r="L57" s="2">
        <v>60</v>
      </c>
      <c r="M57" s="13">
        <f t="shared" si="8"/>
        <v>103.83999999999999</v>
      </c>
      <c r="N57" s="220">
        <f ca="1" t="shared" si="9"/>
        <v>96</v>
      </c>
      <c r="O57" s="33">
        <v>1</v>
      </c>
      <c r="P57" s="1" t="s">
        <v>2536</v>
      </c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</row>
    <row r="58" spans="2:47" s="37" customFormat="1" ht="39.75" customHeight="1">
      <c r="B58" s="25">
        <v>41682</v>
      </c>
      <c r="C58" s="2" t="s">
        <v>2531</v>
      </c>
      <c r="D58" s="2" t="s">
        <v>2943</v>
      </c>
      <c r="E58" s="26" t="s">
        <v>2532</v>
      </c>
      <c r="F58" s="2" t="s">
        <v>2541</v>
      </c>
      <c r="G58" s="2" t="s">
        <v>2542</v>
      </c>
      <c r="H58" s="2" t="s">
        <v>2465</v>
      </c>
      <c r="I58" s="203">
        <v>6230.4</v>
      </c>
      <c r="J58" s="203">
        <v>43.1</v>
      </c>
      <c r="K58" s="302">
        <f t="shared" si="7"/>
        <v>144.5568445475638</v>
      </c>
      <c r="L58" s="2">
        <v>60</v>
      </c>
      <c r="M58" s="13">
        <f t="shared" si="8"/>
        <v>103.83999999999999</v>
      </c>
      <c r="N58" s="220">
        <f ca="1" t="shared" si="9"/>
        <v>96</v>
      </c>
      <c r="O58" s="33">
        <v>1</v>
      </c>
      <c r="P58" s="1" t="s">
        <v>2536</v>
      </c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</row>
    <row r="59" spans="2:47" s="37" customFormat="1" ht="39.75" customHeight="1">
      <c r="B59" s="25">
        <v>41682</v>
      </c>
      <c r="C59" s="2" t="s">
        <v>2531</v>
      </c>
      <c r="D59" s="2" t="s">
        <v>2944</v>
      </c>
      <c r="E59" s="26" t="s">
        <v>2532</v>
      </c>
      <c r="F59" s="2" t="s">
        <v>2543</v>
      </c>
      <c r="G59" s="2" t="s">
        <v>2544</v>
      </c>
      <c r="H59" s="2" t="s">
        <v>2456</v>
      </c>
      <c r="I59" s="203">
        <v>6230.4</v>
      </c>
      <c r="J59" s="203">
        <v>43.1</v>
      </c>
      <c r="K59" s="302">
        <f t="shared" si="7"/>
        <v>144.5568445475638</v>
      </c>
      <c r="L59" s="2">
        <v>60</v>
      </c>
      <c r="M59" s="13">
        <f t="shared" si="8"/>
        <v>103.83999999999999</v>
      </c>
      <c r="N59" s="220">
        <f ca="1" t="shared" si="9"/>
        <v>96</v>
      </c>
      <c r="O59" s="33">
        <v>1</v>
      </c>
      <c r="P59" s="1" t="s">
        <v>2536</v>
      </c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</row>
    <row r="60" spans="2:47" s="37" customFormat="1" ht="39.75" customHeight="1">
      <c r="B60" s="25">
        <v>41682</v>
      </c>
      <c r="C60" s="2" t="s">
        <v>2545</v>
      </c>
      <c r="D60" s="2" t="s">
        <v>2945</v>
      </c>
      <c r="E60" s="26" t="s">
        <v>2546</v>
      </c>
      <c r="F60" s="2" t="s">
        <v>2547</v>
      </c>
      <c r="G60" s="2" t="s">
        <v>2548</v>
      </c>
      <c r="H60" s="2" t="s">
        <v>2549</v>
      </c>
      <c r="I60" s="203">
        <f aca="true" t="shared" si="10" ref="I60:I65">126000/6</f>
        <v>21000</v>
      </c>
      <c r="J60" s="203">
        <v>43.1</v>
      </c>
      <c r="K60" s="302">
        <f t="shared" si="7"/>
        <v>487.23897911832944</v>
      </c>
      <c r="L60" s="2">
        <v>60</v>
      </c>
      <c r="M60" s="13">
        <f t="shared" si="8"/>
        <v>350</v>
      </c>
      <c r="N60" s="220">
        <f ca="1" t="shared" si="9"/>
        <v>96</v>
      </c>
      <c r="O60" s="33">
        <v>1</v>
      </c>
      <c r="P60" s="1" t="s">
        <v>273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</row>
    <row r="61" spans="2:47" s="37" customFormat="1" ht="39.75" customHeight="1">
      <c r="B61" s="25">
        <v>41683</v>
      </c>
      <c r="C61" s="2" t="s">
        <v>2545</v>
      </c>
      <c r="D61" s="2" t="s">
        <v>2946</v>
      </c>
      <c r="E61" s="26" t="s">
        <v>2546</v>
      </c>
      <c r="F61" s="2" t="s">
        <v>2550</v>
      </c>
      <c r="G61" s="2" t="s">
        <v>2534</v>
      </c>
      <c r="H61" s="2" t="s">
        <v>2535</v>
      </c>
      <c r="I61" s="203">
        <f t="shared" si="10"/>
        <v>21000</v>
      </c>
      <c r="J61" s="203">
        <v>43.1</v>
      </c>
      <c r="K61" s="302">
        <f t="shared" si="7"/>
        <v>487.23897911832944</v>
      </c>
      <c r="L61" s="2">
        <v>60</v>
      </c>
      <c r="M61" s="13">
        <f t="shared" si="8"/>
        <v>350</v>
      </c>
      <c r="N61" s="220">
        <f ca="1" t="shared" si="9"/>
        <v>96</v>
      </c>
      <c r="O61" s="33">
        <v>1</v>
      </c>
      <c r="P61" s="1" t="s">
        <v>273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</row>
    <row r="62" spans="2:47" s="37" customFormat="1" ht="39.75" customHeight="1">
      <c r="B62" s="25">
        <v>41683</v>
      </c>
      <c r="C62" s="2" t="s">
        <v>2545</v>
      </c>
      <c r="D62" s="2" t="s">
        <v>2947</v>
      </c>
      <c r="E62" s="26" t="s">
        <v>2546</v>
      </c>
      <c r="F62" s="2" t="s">
        <v>2551</v>
      </c>
      <c r="G62" s="2" t="s">
        <v>2552</v>
      </c>
      <c r="H62" s="2" t="s">
        <v>2459</v>
      </c>
      <c r="I62" s="203">
        <f t="shared" si="10"/>
        <v>21000</v>
      </c>
      <c r="J62" s="203">
        <v>43.1</v>
      </c>
      <c r="K62" s="302">
        <f t="shared" si="7"/>
        <v>487.23897911832944</v>
      </c>
      <c r="L62" s="2">
        <v>60</v>
      </c>
      <c r="M62" s="13">
        <f t="shared" si="8"/>
        <v>350</v>
      </c>
      <c r="N62" s="220">
        <f ca="1" t="shared" si="9"/>
        <v>96</v>
      </c>
      <c r="O62" s="33">
        <v>1</v>
      </c>
      <c r="P62" s="1" t="s">
        <v>273</v>
      </c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</row>
    <row r="63" spans="2:47" s="37" customFormat="1" ht="39.75" customHeight="1">
      <c r="B63" s="25">
        <v>41683</v>
      </c>
      <c r="C63" s="2" t="s">
        <v>2545</v>
      </c>
      <c r="D63" s="2" t="s">
        <v>2948</v>
      </c>
      <c r="E63" s="26" t="s">
        <v>2546</v>
      </c>
      <c r="F63" s="2" t="s">
        <v>2553</v>
      </c>
      <c r="G63" s="2" t="s">
        <v>2526</v>
      </c>
      <c r="H63" s="2" t="s">
        <v>2527</v>
      </c>
      <c r="I63" s="203">
        <f t="shared" si="10"/>
        <v>21000</v>
      </c>
      <c r="J63" s="203">
        <v>43.1</v>
      </c>
      <c r="K63" s="302">
        <f t="shared" si="7"/>
        <v>487.23897911832944</v>
      </c>
      <c r="L63" s="2">
        <v>60</v>
      </c>
      <c r="M63" s="13">
        <f t="shared" si="8"/>
        <v>350</v>
      </c>
      <c r="N63" s="220">
        <f ca="1" t="shared" si="9"/>
        <v>96</v>
      </c>
      <c r="O63" s="33">
        <v>1</v>
      </c>
      <c r="P63" s="1" t="s">
        <v>273</v>
      </c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</row>
    <row r="64" spans="2:47" s="37" customFormat="1" ht="39.75" customHeight="1">
      <c r="B64" s="25">
        <v>41683</v>
      </c>
      <c r="C64" s="2" t="s">
        <v>2545</v>
      </c>
      <c r="D64" s="2" t="s">
        <v>2949</v>
      </c>
      <c r="E64" s="26" t="s">
        <v>2546</v>
      </c>
      <c r="F64" s="2" t="s">
        <v>2554</v>
      </c>
      <c r="G64" s="2" t="s">
        <v>2542</v>
      </c>
      <c r="H64" s="2" t="s">
        <v>2465</v>
      </c>
      <c r="I64" s="203">
        <f t="shared" si="10"/>
        <v>21000</v>
      </c>
      <c r="J64" s="203">
        <v>43.1</v>
      </c>
      <c r="K64" s="302">
        <f t="shared" si="7"/>
        <v>487.23897911832944</v>
      </c>
      <c r="L64" s="2">
        <v>60</v>
      </c>
      <c r="M64" s="13">
        <f t="shared" si="8"/>
        <v>350</v>
      </c>
      <c r="N64" s="220">
        <f ca="1" t="shared" si="9"/>
        <v>96</v>
      </c>
      <c r="O64" s="33">
        <v>1</v>
      </c>
      <c r="P64" s="1" t="s">
        <v>273</v>
      </c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</row>
    <row r="65" spans="2:47" s="37" customFormat="1" ht="39.75" customHeight="1">
      <c r="B65" s="25">
        <v>41683</v>
      </c>
      <c r="C65" s="2" t="s">
        <v>2545</v>
      </c>
      <c r="D65" s="2" t="s">
        <v>2950</v>
      </c>
      <c r="E65" s="26" t="s">
        <v>2546</v>
      </c>
      <c r="F65" s="2" t="s">
        <v>2555</v>
      </c>
      <c r="G65" s="2" t="s">
        <v>2544</v>
      </c>
      <c r="H65" s="2" t="s">
        <v>2456</v>
      </c>
      <c r="I65" s="203">
        <f t="shared" si="10"/>
        <v>21000</v>
      </c>
      <c r="J65" s="203">
        <v>43.1</v>
      </c>
      <c r="K65" s="302">
        <f t="shared" si="7"/>
        <v>487.23897911832944</v>
      </c>
      <c r="L65" s="2">
        <v>60</v>
      </c>
      <c r="M65" s="13">
        <f t="shared" si="8"/>
        <v>350</v>
      </c>
      <c r="N65" s="220">
        <f ca="1" t="shared" si="9"/>
        <v>96</v>
      </c>
      <c r="O65" s="33">
        <v>1</v>
      </c>
      <c r="P65" s="1" t="s">
        <v>273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</row>
    <row r="66" spans="2:47" s="37" customFormat="1" ht="39.75" customHeight="1">
      <c r="B66" s="25">
        <v>41683</v>
      </c>
      <c r="C66" s="2" t="s">
        <v>2545</v>
      </c>
      <c r="D66" s="2" t="s">
        <v>2951</v>
      </c>
      <c r="E66" s="26" t="s">
        <v>2556</v>
      </c>
      <c r="F66" s="17" t="s">
        <v>2557</v>
      </c>
      <c r="G66" s="2" t="s">
        <v>2548</v>
      </c>
      <c r="H66" s="2" t="s">
        <v>2549</v>
      </c>
      <c r="I66" s="203">
        <f>14300/11</f>
        <v>1300</v>
      </c>
      <c r="J66" s="203">
        <v>43.1</v>
      </c>
      <c r="K66" s="302">
        <f t="shared" si="7"/>
        <v>30.162412993039442</v>
      </c>
      <c r="L66" s="2">
        <v>36</v>
      </c>
      <c r="M66" s="13">
        <f t="shared" si="8"/>
        <v>36.111111111111114</v>
      </c>
      <c r="N66" s="220">
        <f ca="1" t="shared" si="9"/>
        <v>96</v>
      </c>
      <c r="O66" s="33">
        <v>1</v>
      </c>
      <c r="P66" s="1" t="s">
        <v>273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</row>
    <row r="67" spans="2:47" s="37" customFormat="1" ht="39.75" customHeight="1">
      <c r="B67" s="25">
        <v>41683</v>
      </c>
      <c r="C67" s="2" t="s">
        <v>2545</v>
      </c>
      <c r="D67" s="2" t="s">
        <v>2952</v>
      </c>
      <c r="E67" s="26" t="s">
        <v>2556</v>
      </c>
      <c r="F67" s="17" t="s">
        <v>2558</v>
      </c>
      <c r="G67" s="2" t="s">
        <v>2559</v>
      </c>
      <c r="H67" s="2" t="s">
        <v>2560</v>
      </c>
      <c r="I67" s="203">
        <f aca="true" t="shared" si="11" ref="I67:I76">14300/11</f>
        <v>1300</v>
      </c>
      <c r="J67" s="203">
        <v>43.1</v>
      </c>
      <c r="K67" s="302">
        <f t="shared" si="7"/>
        <v>30.162412993039442</v>
      </c>
      <c r="L67" s="2">
        <v>36</v>
      </c>
      <c r="M67" s="13">
        <f t="shared" si="8"/>
        <v>36.111111111111114</v>
      </c>
      <c r="N67" s="220">
        <f ca="1" t="shared" si="9"/>
        <v>96</v>
      </c>
      <c r="O67" s="33">
        <v>1</v>
      </c>
      <c r="P67" s="1" t="s">
        <v>273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</row>
    <row r="68" spans="2:47" s="37" customFormat="1" ht="39.75" customHeight="1">
      <c r="B68" s="25">
        <v>41683</v>
      </c>
      <c r="C68" s="2" t="s">
        <v>2545</v>
      </c>
      <c r="D68" s="2" t="s">
        <v>2953</v>
      </c>
      <c r="E68" s="26" t="s">
        <v>2556</v>
      </c>
      <c r="F68" s="17" t="s">
        <v>2561</v>
      </c>
      <c r="G68" s="2" t="s">
        <v>2562</v>
      </c>
      <c r="H68" s="2" t="s">
        <v>2563</v>
      </c>
      <c r="I68" s="203">
        <f t="shared" si="11"/>
        <v>1300</v>
      </c>
      <c r="J68" s="203">
        <v>43.1</v>
      </c>
      <c r="K68" s="302">
        <f t="shared" si="7"/>
        <v>30.162412993039442</v>
      </c>
      <c r="L68" s="2">
        <v>36</v>
      </c>
      <c r="M68" s="13">
        <f t="shared" si="8"/>
        <v>36.111111111111114</v>
      </c>
      <c r="N68" s="220">
        <f ca="1" t="shared" si="9"/>
        <v>96</v>
      </c>
      <c r="O68" s="33">
        <v>1</v>
      </c>
      <c r="P68" s="1" t="s">
        <v>273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</row>
    <row r="69" spans="2:47" s="37" customFormat="1" ht="39.75" customHeight="1">
      <c r="B69" s="25">
        <v>41683</v>
      </c>
      <c r="C69" s="2" t="s">
        <v>2545</v>
      </c>
      <c r="D69" s="2" t="s">
        <v>2954</v>
      </c>
      <c r="E69" s="26" t="s">
        <v>2556</v>
      </c>
      <c r="F69" s="17" t="s">
        <v>2564</v>
      </c>
      <c r="G69" s="2" t="s">
        <v>2538</v>
      </c>
      <c r="H69" s="2" t="s">
        <v>2539</v>
      </c>
      <c r="I69" s="203">
        <f t="shared" si="11"/>
        <v>1300</v>
      </c>
      <c r="J69" s="203">
        <v>43.1</v>
      </c>
      <c r="K69" s="302">
        <f t="shared" si="7"/>
        <v>30.162412993039442</v>
      </c>
      <c r="L69" s="2">
        <v>36</v>
      </c>
      <c r="M69" s="13">
        <f t="shared" si="8"/>
        <v>36.111111111111114</v>
      </c>
      <c r="N69" s="220">
        <f ca="1" t="shared" si="9"/>
        <v>96</v>
      </c>
      <c r="O69" s="33">
        <v>1</v>
      </c>
      <c r="P69" s="1" t="s">
        <v>273</v>
      </c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</row>
    <row r="70" spans="2:47" s="37" customFormat="1" ht="39.75" customHeight="1">
      <c r="B70" s="25">
        <v>41683</v>
      </c>
      <c r="C70" s="2" t="s">
        <v>2545</v>
      </c>
      <c r="D70" s="2" t="s">
        <v>2955</v>
      </c>
      <c r="E70" s="26" t="s">
        <v>2556</v>
      </c>
      <c r="F70" s="17" t="s">
        <v>2565</v>
      </c>
      <c r="G70" s="2" t="s">
        <v>2538</v>
      </c>
      <c r="H70" s="2" t="s">
        <v>2539</v>
      </c>
      <c r="I70" s="203">
        <f t="shared" si="11"/>
        <v>1300</v>
      </c>
      <c r="J70" s="203">
        <v>43.1</v>
      </c>
      <c r="K70" s="302">
        <f t="shared" si="7"/>
        <v>30.162412993039442</v>
      </c>
      <c r="L70" s="2">
        <v>36</v>
      </c>
      <c r="M70" s="13">
        <f t="shared" si="8"/>
        <v>36.111111111111114</v>
      </c>
      <c r="N70" s="220">
        <f ca="1" t="shared" si="9"/>
        <v>96</v>
      </c>
      <c r="O70" s="33">
        <v>1</v>
      </c>
      <c r="P70" s="1" t="s">
        <v>273</v>
      </c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</row>
    <row r="71" spans="2:47" s="37" customFormat="1" ht="39.75" customHeight="1">
      <c r="B71" s="25">
        <v>41683</v>
      </c>
      <c r="C71" s="2" t="s">
        <v>2545</v>
      </c>
      <c r="D71" s="2" t="s">
        <v>2956</v>
      </c>
      <c r="E71" s="26" t="s">
        <v>2556</v>
      </c>
      <c r="F71" s="17" t="s">
        <v>2566</v>
      </c>
      <c r="G71" s="2" t="s">
        <v>2526</v>
      </c>
      <c r="H71" s="2" t="s">
        <v>2527</v>
      </c>
      <c r="I71" s="203">
        <f t="shared" si="11"/>
        <v>1300</v>
      </c>
      <c r="J71" s="203">
        <v>43.1</v>
      </c>
      <c r="K71" s="302">
        <f t="shared" si="7"/>
        <v>30.162412993039442</v>
      </c>
      <c r="L71" s="2">
        <v>36</v>
      </c>
      <c r="M71" s="13">
        <f t="shared" si="8"/>
        <v>36.111111111111114</v>
      </c>
      <c r="N71" s="220">
        <f ca="1" t="shared" si="9"/>
        <v>96</v>
      </c>
      <c r="O71" s="33">
        <v>1</v>
      </c>
      <c r="P71" s="1" t="s">
        <v>273</v>
      </c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</row>
    <row r="72" spans="2:47" s="37" customFormat="1" ht="39.75" customHeight="1">
      <c r="B72" s="25">
        <v>41683</v>
      </c>
      <c r="C72" s="2" t="s">
        <v>2545</v>
      </c>
      <c r="D72" s="2" t="s">
        <v>2957</v>
      </c>
      <c r="E72" s="26" t="s">
        <v>2556</v>
      </c>
      <c r="F72" s="17" t="s">
        <v>2567</v>
      </c>
      <c r="G72" s="2" t="s">
        <v>2526</v>
      </c>
      <c r="H72" s="2" t="s">
        <v>2527</v>
      </c>
      <c r="I72" s="203">
        <f t="shared" si="11"/>
        <v>1300</v>
      </c>
      <c r="J72" s="203">
        <v>43.1</v>
      </c>
      <c r="K72" s="302">
        <f t="shared" si="7"/>
        <v>30.162412993039442</v>
      </c>
      <c r="L72" s="2">
        <v>36</v>
      </c>
      <c r="M72" s="13">
        <f t="shared" si="8"/>
        <v>36.111111111111114</v>
      </c>
      <c r="N72" s="220">
        <f ca="1" t="shared" si="9"/>
        <v>96</v>
      </c>
      <c r="O72" s="33">
        <v>1</v>
      </c>
      <c r="P72" s="1" t="s">
        <v>273</v>
      </c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</row>
    <row r="73" spans="2:47" s="37" customFormat="1" ht="39.75" customHeight="1">
      <c r="B73" s="25">
        <v>41683</v>
      </c>
      <c r="C73" s="2" t="s">
        <v>2545</v>
      </c>
      <c r="D73" s="2" t="s">
        <v>2958</v>
      </c>
      <c r="E73" s="26" t="s">
        <v>2556</v>
      </c>
      <c r="F73" s="17" t="s">
        <v>2568</v>
      </c>
      <c r="G73" s="2" t="s">
        <v>2542</v>
      </c>
      <c r="H73" s="2" t="s">
        <v>2465</v>
      </c>
      <c r="I73" s="203">
        <f t="shared" si="11"/>
        <v>1300</v>
      </c>
      <c r="J73" s="203">
        <v>43.1</v>
      </c>
      <c r="K73" s="302">
        <f t="shared" si="7"/>
        <v>30.162412993039442</v>
      </c>
      <c r="L73" s="2">
        <v>36</v>
      </c>
      <c r="M73" s="13">
        <f t="shared" si="8"/>
        <v>36.111111111111114</v>
      </c>
      <c r="N73" s="220">
        <f ca="1" t="shared" si="9"/>
        <v>96</v>
      </c>
      <c r="O73" s="33">
        <v>1</v>
      </c>
      <c r="P73" s="1" t="s">
        <v>273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</row>
    <row r="74" spans="2:47" s="37" customFormat="1" ht="39.75" customHeight="1">
      <c r="B74" s="25">
        <v>41683</v>
      </c>
      <c r="C74" s="2" t="s">
        <v>2545</v>
      </c>
      <c r="D74" s="2" t="s">
        <v>2959</v>
      </c>
      <c r="E74" s="26" t="s">
        <v>2556</v>
      </c>
      <c r="F74" s="17" t="s">
        <v>2569</v>
      </c>
      <c r="G74" s="2" t="s">
        <v>2542</v>
      </c>
      <c r="H74" s="2" t="s">
        <v>2465</v>
      </c>
      <c r="I74" s="203">
        <f t="shared" si="11"/>
        <v>1300</v>
      </c>
      <c r="J74" s="203">
        <v>43.1</v>
      </c>
      <c r="K74" s="302">
        <f t="shared" si="7"/>
        <v>30.162412993039442</v>
      </c>
      <c r="L74" s="2">
        <v>36</v>
      </c>
      <c r="M74" s="13">
        <f t="shared" si="8"/>
        <v>36.111111111111114</v>
      </c>
      <c r="N74" s="220">
        <f ca="1" t="shared" si="9"/>
        <v>96</v>
      </c>
      <c r="O74" s="33">
        <v>1</v>
      </c>
      <c r="P74" s="1" t="s">
        <v>273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</row>
    <row r="75" spans="2:47" s="37" customFormat="1" ht="39.75" customHeight="1">
      <c r="B75" s="25">
        <v>41683</v>
      </c>
      <c r="C75" s="2" t="s">
        <v>2545</v>
      </c>
      <c r="D75" s="2" t="s">
        <v>2960</v>
      </c>
      <c r="E75" s="26" t="s">
        <v>2556</v>
      </c>
      <c r="F75" s="17" t="s">
        <v>2570</v>
      </c>
      <c r="G75" s="2" t="s">
        <v>2544</v>
      </c>
      <c r="H75" s="2" t="s">
        <v>2456</v>
      </c>
      <c r="I75" s="203">
        <f t="shared" si="11"/>
        <v>1300</v>
      </c>
      <c r="J75" s="203">
        <v>43.1</v>
      </c>
      <c r="K75" s="302">
        <f t="shared" si="7"/>
        <v>30.162412993039442</v>
      </c>
      <c r="L75" s="2">
        <v>36</v>
      </c>
      <c r="M75" s="13">
        <f t="shared" si="8"/>
        <v>36.111111111111114</v>
      </c>
      <c r="N75" s="220">
        <f ca="1" t="shared" si="9"/>
        <v>96</v>
      </c>
      <c r="O75" s="33">
        <v>1</v>
      </c>
      <c r="P75" s="1" t="s">
        <v>273</v>
      </c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2:47" s="37" customFormat="1" ht="39.75" customHeight="1">
      <c r="B76" s="25">
        <v>41683</v>
      </c>
      <c r="C76" s="2" t="s">
        <v>2545</v>
      </c>
      <c r="D76" s="2" t="s">
        <v>2961</v>
      </c>
      <c r="E76" s="26" t="s">
        <v>2556</v>
      </c>
      <c r="F76" s="17" t="s">
        <v>2571</v>
      </c>
      <c r="G76" s="2" t="s">
        <v>2544</v>
      </c>
      <c r="H76" s="2" t="s">
        <v>2456</v>
      </c>
      <c r="I76" s="203">
        <f t="shared" si="11"/>
        <v>1300</v>
      </c>
      <c r="J76" s="203">
        <v>43.1</v>
      </c>
      <c r="K76" s="302">
        <f t="shared" si="7"/>
        <v>30.162412993039442</v>
      </c>
      <c r="L76" s="2">
        <v>36</v>
      </c>
      <c r="M76" s="13">
        <f t="shared" si="8"/>
        <v>36.111111111111114</v>
      </c>
      <c r="N76" s="220">
        <f ca="1" t="shared" si="9"/>
        <v>96</v>
      </c>
      <c r="O76" s="33">
        <v>1</v>
      </c>
      <c r="P76" s="1" t="s">
        <v>273</v>
      </c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77" spans="2:47" s="37" customFormat="1" ht="39.75" customHeight="1">
      <c r="B77" s="25">
        <v>41683</v>
      </c>
      <c r="C77" s="2" t="s">
        <v>2545</v>
      </c>
      <c r="D77" s="2" t="s">
        <v>2962</v>
      </c>
      <c r="E77" s="26" t="s">
        <v>2572</v>
      </c>
      <c r="F77" s="2" t="s">
        <v>42</v>
      </c>
      <c r="G77" s="2" t="s">
        <v>2526</v>
      </c>
      <c r="H77" s="2" t="s">
        <v>2527</v>
      </c>
      <c r="I77" s="203">
        <f>4749.91/5</f>
        <v>949.982</v>
      </c>
      <c r="J77" s="203">
        <v>43.1</v>
      </c>
      <c r="K77" s="302">
        <f t="shared" si="7"/>
        <v>22.04134570765661</v>
      </c>
      <c r="L77" s="2">
        <v>60</v>
      </c>
      <c r="M77" s="13">
        <f t="shared" si="8"/>
        <v>15.833033333333333</v>
      </c>
      <c r="N77" s="220">
        <f ca="1" t="shared" si="9"/>
        <v>96</v>
      </c>
      <c r="O77" s="33">
        <v>1</v>
      </c>
      <c r="P77" s="1" t="s">
        <v>273</v>
      </c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</row>
    <row r="78" spans="2:47" s="37" customFormat="1" ht="39.75" customHeight="1">
      <c r="B78" s="25">
        <v>41683</v>
      </c>
      <c r="C78" s="2" t="s">
        <v>2545</v>
      </c>
      <c r="D78" s="2" t="s">
        <v>2963</v>
      </c>
      <c r="E78" s="26" t="s">
        <v>2572</v>
      </c>
      <c r="F78" s="2" t="s">
        <v>42</v>
      </c>
      <c r="G78" s="2" t="s">
        <v>2526</v>
      </c>
      <c r="H78" s="2" t="s">
        <v>2527</v>
      </c>
      <c r="I78" s="203">
        <f>4749.91/5</f>
        <v>949.982</v>
      </c>
      <c r="J78" s="203">
        <v>43.1</v>
      </c>
      <c r="K78" s="302">
        <f t="shared" si="7"/>
        <v>22.04134570765661</v>
      </c>
      <c r="L78" s="2">
        <v>60</v>
      </c>
      <c r="M78" s="13">
        <f t="shared" si="8"/>
        <v>15.833033333333333</v>
      </c>
      <c r="N78" s="220">
        <f ca="1" t="shared" si="9"/>
        <v>96</v>
      </c>
      <c r="O78" s="33">
        <v>1</v>
      </c>
      <c r="P78" s="1" t="s">
        <v>273</v>
      </c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</row>
    <row r="79" spans="2:47" s="37" customFormat="1" ht="39.75" customHeight="1">
      <c r="B79" s="25">
        <v>41683</v>
      </c>
      <c r="C79" s="2" t="s">
        <v>2545</v>
      </c>
      <c r="D79" s="2" t="s">
        <v>2964</v>
      </c>
      <c r="E79" s="26" t="s">
        <v>2572</v>
      </c>
      <c r="F79" s="2" t="s">
        <v>42</v>
      </c>
      <c r="G79" s="2" t="s">
        <v>2544</v>
      </c>
      <c r="H79" s="2" t="s">
        <v>2456</v>
      </c>
      <c r="I79" s="203">
        <f>4749.91/5</f>
        <v>949.982</v>
      </c>
      <c r="J79" s="203">
        <v>43.1</v>
      </c>
      <c r="K79" s="302">
        <f t="shared" si="7"/>
        <v>22.04134570765661</v>
      </c>
      <c r="L79" s="2">
        <v>60</v>
      </c>
      <c r="M79" s="13">
        <f t="shared" si="8"/>
        <v>15.833033333333333</v>
      </c>
      <c r="N79" s="220">
        <f ca="1" t="shared" si="9"/>
        <v>96</v>
      </c>
      <c r="O79" s="33">
        <v>1</v>
      </c>
      <c r="P79" s="1" t="s">
        <v>273</v>
      </c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</row>
    <row r="80" spans="2:47" s="37" customFormat="1" ht="39.75" customHeight="1">
      <c r="B80" s="25">
        <v>41683</v>
      </c>
      <c r="C80" s="2" t="s">
        <v>2545</v>
      </c>
      <c r="D80" s="2" t="s">
        <v>2965</v>
      </c>
      <c r="E80" s="26" t="s">
        <v>2572</v>
      </c>
      <c r="F80" s="2" t="s">
        <v>42</v>
      </c>
      <c r="G80" s="2" t="s">
        <v>2544</v>
      </c>
      <c r="H80" s="2" t="s">
        <v>2456</v>
      </c>
      <c r="I80" s="203">
        <f>4749.91/5</f>
        <v>949.982</v>
      </c>
      <c r="J80" s="203">
        <v>43.1</v>
      </c>
      <c r="K80" s="302">
        <f t="shared" si="7"/>
        <v>22.04134570765661</v>
      </c>
      <c r="L80" s="2">
        <v>60</v>
      </c>
      <c r="M80" s="13">
        <f t="shared" si="8"/>
        <v>15.833033333333333</v>
      </c>
      <c r="N80" s="220">
        <f ca="1" t="shared" si="9"/>
        <v>96</v>
      </c>
      <c r="O80" s="33">
        <v>1</v>
      </c>
      <c r="P80" s="1" t="s">
        <v>273</v>
      </c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</row>
    <row r="81" spans="2:47" s="37" customFormat="1" ht="39.75" customHeight="1">
      <c r="B81" s="25">
        <v>41683</v>
      </c>
      <c r="C81" s="2" t="s">
        <v>2545</v>
      </c>
      <c r="D81" s="2" t="s">
        <v>2966</v>
      </c>
      <c r="E81" s="26" t="s">
        <v>2572</v>
      </c>
      <c r="F81" s="2" t="s">
        <v>42</v>
      </c>
      <c r="G81" s="2" t="s">
        <v>2544</v>
      </c>
      <c r="H81" s="2" t="s">
        <v>2456</v>
      </c>
      <c r="I81" s="203">
        <f>4749.91/5</f>
        <v>949.982</v>
      </c>
      <c r="J81" s="203">
        <v>43.1</v>
      </c>
      <c r="K81" s="302">
        <f t="shared" si="7"/>
        <v>22.04134570765661</v>
      </c>
      <c r="L81" s="2">
        <v>60</v>
      </c>
      <c r="M81" s="13">
        <f t="shared" si="8"/>
        <v>15.833033333333333</v>
      </c>
      <c r="N81" s="220">
        <f ca="1" t="shared" si="9"/>
        <v>96</v>
      </c>
      <c r="O81" s="33">
        <v>1</v>
      </c>
      <c r="P81" s="1" t="s">
        <v>273</v>
      </c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</row>
    <row r="82" spans="2:47" s="37" customFormat="1" ht="39.75" customHeight="1">
      <c r="B82" s="25">
        <v>41691</v>
      </c>
      <c r="C82" s="2" t="s">
        <v>2573</v>
      </c>
      <c r="D82" s="2" t="s">
        <v>2967</v>
      </c>
      <c r="E82" s="26" t="s">
        <v>2574</v>
      </c>
      <c r="F82" s="2" t="s">
        <v>2575</v>
      </c>
      <c r="G82" s="2" t="s">
        <v>2548</v>
      </c>
      <c r="H82" s="2" t="s">
        <v>2549</v>
      </c>
      <c r="I82" s="203">
        <f>63281.87/10</f>
        <v>6328.187</v>
      </c>
      <c r="J82" s="203">
        <v>43.17</v>
      </c>
      <c r="K82" s="302">
        <f>+I82/J82</f>
        <v>146.5876071345842</v>
      </c>
      <c r="L82" s="2">
        <v>36</v>
      </c>
      <c r="M82" s="13">
        <f>IF(AND(I82&lt;&gt;0,L82&lt;&gt;0),I82/L82,0)</f>
        <v>175.7829722222222</v>
      </c>
      <c r="N82" s="220">
        <f ca="1">IF(B82&lt;&gt;0,(ROUND((NOW()-B82)/30,0)),0)</f>
        <v>96</v>
      </c>
      <c r="O82" s="33">
        <v>1</v>
      </c>
      <c r="P82" s="1" t="s">
        <v>2576</v>
      </c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2:47" s="37" customFormat="1" ht="39.75" customHeight="1">
      <c r="B83" s="25">
        <v>41691</v>
      </c>
      <c r="C83" s="2" t="s">
        <v>2573</v>
      </c>
      <c r="D83" s="2" t="s">
        <v>2968</v>
      </c>
      <c r="E83" s="26" t="s">
        <v>2574</v>
      </c>
      <c r="F83" s="2" t="s">
        <v>2577</v>
      </c>
      <c r="G83" s="2" t="s">
        <v>2578</v>
      </c>
      <c r="H83" s="2" t="s">
        <v>2579</v>
      </c>
      <c r="I83" s="203">
        <f aca="true" t="shared" si="12" ref="I83:I91">63281.87/10</f>
        <v>6328.187</v>
      </c>
      <c r="J83" s="203">
        <v>43.17</v>
      </c>
      <c r="K83" s="302">
        <f aca="true" t="shared" si="13" ref="K83:K97">+I83/J83</f>
        <v>146.5876071345842</v>
      </c>
      <c r="L83" s="2">
        <v>36</v>
      </c>
      <c r="M83" s="13">
        <f aca="true" t="shared" si="14" ref="M83:M97">IF(AND(I83&lt;&gt;0,L83&lt;&gt;0),I83/L83,0)</f>
        <v>175.7829722222222</v>
      </c>
      <c r="N83" s="220">
        <f aca="true" ca="1" t="shared" si="15" ref="N83:N97">IF(B83&lt;&gt;0,(ROUND((NOW()-B83)/30,0)),0)</f>
        <v>96</v>
      </c>
      <c r="O83" s="33">
        <v>1</v>
      </c>
      <c r="P83" s="1" t="s">
        <v>2576</v>
      </c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</row>
    <row r="84" spans="2:47" s="37" customFormat="1" ht="32.25" customHeight="1">
      <c r="B84" s="25">
        <v>41691</v>
      </c>
      <c r="C84" s="2" t="s">
        <v>2573</v>
      </c>
      <c r="D84" s="2" t="s">
        <v>2969</v>
      </c>
      <c r="E84" s="26" t="s">
        <v>2574</v>
      </c>
      <c r="F84" s="2" t="s">
        <v>2580</v>
      </c>
      <c r="G84" s="2" t="s">
        <v>2559</v>
      </c>
      <c r="H84" s="2" t="s">
        <v>2560</v>
      </c>
      <c r="I84" s="203">
        <f t="shared" si="12"/>
        <v>6328.187</v>
      </c>
      <c r="J84" s="203">
        <v>43.17</v>
      </c>
      <c r="K84" s="302">
        <f t="shared" si="13"/>
        <v>146.5876071345842</v>
      </c>
      <c r="L84" s="2">
        <v>36</v>
      </c>
      <c r="M84" s="13">
        <f t="shared" si="14"/>
        <v>175.7829722222222</v>
      </c>
      <c r="N84" s="220">
        <f ca="1" t="shared" si="15"/>
        <v>96</v>
      </c>
      <c r="O84" s="33">
        <v>1</v>
      </c>
      <c r="P84" s="1" t="s">
        <v>2576</v>
      </c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</row>
    <row r="85" spans="2:47" s="37" customFormat="1" ht="27" customHeight="1">
      <c r="B85" s="25">
        <v>41691</v>
      </c>
      <c r="C85" s="2" t="s">
        <v>2573</v>
      </c>
      <c r="D85" s="2" t="s">
        <v>2970</v>
      </c>
      <c r="E85" s="26" t="s">
        <v>2574</v>
      </c>
      <c r="F85" s="2" t="s">
        <v>2581</v>
      </c>
      <c r="G85" s="2" t="s">
        <v>2562</v>
      </c>
      <c r="H85" s="2" t="s">
        <v>2563</v>
      </c>
      <c r="I85" s="203">
        <f t="shared" si="12"/>
        <v>6328.187</v>
      </c>
      <c r="J85" s="203">
        <v>43.17</v>
      </c>
      <c r="K85" s="302">
        <f t="shared" si="13"/>
        <v>146.5876071345842</v>
      </c>
      <c r="L85" s="2">
        <v>36</v>
      </c>
      <c r="M85" s="13">
        <f t="shared" si="14"/>
        <v>175.7829722222222</v>
      </c>
      <c r="N85" s="220">
        <f ca="1" t="shared" si="15"/>
        <v>96</v>
      </c>
      <c r="O85" s="33">
        <v>1</v>
      </c>
      <c r="P85" s="1" t="s">
        <v>2576</v>
      </c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</row>
    <row r="86" spans="2:47" s="37" customFormat="1" ht="38.25" customHeight="1">
      <c r="B86" s="25">
        <v>41691</v>
      </c>
      <c r="C86" s="2" t="s">
        <v>2573</v>
      </c>
      <c r="D86" s="2" t="s">
        <v>2971</v>
      </c>
      <c r="E86" s="26" t="s">
        <v>2574</v>
      </c>
      <c r="F86" s="2" t="s">
        <v>2582</v>
      </c>
      <c r="G86" s="2" t="s">
        <v>2538</v>
      </c>
      <c r="H86" s="2" t="s">
        <v>2539</v>
      </c>
      <c r="I86" s="203">
        <f t="shared" si="12"/>
        <v>6328.187</v>
      </c>
      <c r="J86" s="203">
        <v>43.17</v>
      </c>
      <c r="K86" s="302">
        <f t="shared" si="13"/>
        <v>146.5876071345842</v>
      </c>
      <c r="L86" s="2">
        <v>36</v>
      </c>
      <c r="M86" s="13">
        <f t="shared" si="14"/>
        <v>175.7829722222222</v>
      </c>
      <c r="N86" s="220">
        <f ca="1" t="shared" si="15"/>
        <v>96</v>
      </c>
      <c r="O86" s="33">
        <v>1</v>
      </c>
      <c r="P86" s="1" t="s">
        <v>2576</v>
      </c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</row>
    <row r="87" spans="2:47" s="37" customFormat="1" ht="27" customHeight="1">
      <c r="B87" s="25">
        <v>41691</v>
      </c>
      <c r="C87" s="2" t="s">
        <v>2573</v>
      </c>
      <c r="D87" s="2" t="s">
        <v>2972</v>
      </c>
      <c r="E87" s="26" t="s">
        <v>2574</v>
      </c>
      <c r="F87" s="2" t="s">
        <v>2583</v>
      </c>
      <c r="G87" s="2" t="s">
        <v>2526</v>
      </c>
      <c r="H87" s="2" t="s">
        <v>2527</v>
      </c>
      <c r="I87" s="203">
        <f t="shared" si="12"/>
        <v>6328.187</v>
      </c>
      <c r="J87" s="203">
        <v>43.17</v>
      </c>
      <c r="K87" s="302">
        <f t="shared" si="13"/>
        <v>146.5876071345842</v>
      </c>
      <c r="L87" s="2">
        <v>36</v>
      </c>
      <c r="M87" s="13">
        <f t="shared" si="14"/>
        <v>175.7829722222222</v>
      </c>
      <c r="N87" s="220">
        <f ca="1" t="shared" si="15"/>
        <v>96</v>
      </c>
      <c r="O87" s="33">
        <v>1</v>
      </c>
      <c r="P87" s="1" t="s">
        <v>2576</v>
      </c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</row>
    <row r="88" spans="2:47" s="37" customFormat="1" ht="30" customHeight="1">
      <c r="B88" s="25">
        <v>41691</v>
      </c>
      <c r="C88" s="2" t="s">
        <v>2573</v>
      </c>
      <c r="D88" s="2" t="s">
        <v>2973</v>
      </c>
      <c r="E88" s="26" t="s">
        <v>2574</v>
      </c>
      <c r="F88" s="2" t="s">
        <v>2584</v>
      </c>
      <c r="G88" s="2" t="s">
        <v>2526</v>
      </c>
      <c r="H88" s="2" t="s">
        <v>2527</v>
      </c>
      <c r="I88" s="203">
        <f t="shared" si="12"/>
        <v>6328.187</v>
      </c>
      <c r="J88" s="203">
        <v>43.17</v>
      </c>
      <c r="K88" s="302">
        <f t="shared" si="13"/>
        <v>146.5876071345842</v>
      </c>
      <c r="L88" s="2">
        <v>36</v>
      </c>
      <c r="M88" s="13">
        <f t="shared" si="14"/>
        <v>175.7829722222222</v>
      </c>
      <c r="N88" s="220">
        <f ca="1" t="shared" si="15"/>
        <v>96</v>
      </c>
      <c r="O88" s="33">
        <v>1</v>
      </c>
      <c r="P88" s="1" t="s">
        <v>2576</v>
      </c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</row>
    <row r="89" spans="2:47" s="37" customFormat="1" ht="29.25" customHeight="1">
      <c r="B89" s="25">
        <v>41691</v>
      </c>
      <c r="C89" s="2" t="s">
        <v>2573</v>
      </c>
      <c r="D89" s="2" t="s">
        <v>2974</v>
      </c>
      <c r="E89" s="26" t="s">
        <v>2574</v>
      </c>
      <c r="F89" s="2" t="s">
        <v>2585</v>
      </c>
      <c r="G89" s="2" t="s">
        <v>2542</v>
      </c>
      <c r="H89" s="2" t="s">
        <v>2465</v>
      </c>
      <c r="I89" s="203">
        <f t="shared" si="12"/>
        <v>6328.187</v>
      </c>
      <c r="J89" s="203">
        <v>43.17</v>
      </c>
      <c r="K89" s="302">
        <f t="shared" si="13"/>
        <v>146.5876071345842</v>
      </c>
      <c r="L89" s="2">
        <v>36</v>
      </c>
      <c r="M89" s="13">
        <f t="shared" si="14"/>
        <v>175.7829722222222</v>
      </c>
      <c r="N89" s="220">
        <f ca="1" t="shared" si="15"/>
        <v>96</v>
      </c>
      <c r="O89" s="33">
        <v>1</v>
      </c>
      <c r="P89" s="1" t="s">
        <v>2576</v>
      </c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</row>
    <row r="90" spans="2:47" s="37" customFormat="1" ht="30" customHeight="1">
      <c r="B90" s="25">
        <v>41691</v>
      </c>
      <c r="C90" s="2" t="s">
        <v>2573</v>
      </c>
      <c r="D90" s="2" t="s">
        <v>2975</v>
      </c>
      <c r="E90" s="26" t="s">
        <v>2574</v>
      </c>
      <c r="F90" s="2" t="s">
        <v>2586</v>
      </c>
      <c r="G90" s="2" t="s">
        <v>2542</v>
      </c>
      <c r="H90" s="2" t="s">
        <v>2465</v>
      </c>
      <c r="I90" s="203">
        <f t="shared" si="12"/>
        <v>6328.187</v>
      </c>
      <c r="J90" s="203">
        <v>43.17</v>
      </c>
      <c r="K90" s="302">
        <f t="shared" si="13"/>
        <v>146.5876071345842</v>
      </c>
      <c r="L90" s="2">
        <v>36</v>
      </c>
      <c r="M90" s="13">
        <f t="shared" si="14"/>
        <v>175.7829722222222</v>
      </c>
      <c r="N90" s="220">
        <f ca="1" t="shared" si="15"/>
        <v>96</v>
      </c>
      <c r="O90" s="33">
        <v>1</v>
      </c>
      <c r="P90" s="1" t="s">
        <v>2576</v>
      </c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</row>
    <row r="91" spans="2:47" s="37" customFormat="1" ht="31.5" customHeight="1">
      <c r="B91" s="25">
        <v>41691</v>
      </c>
      <c r="C91" s="2" t="s">
        <v>2573</v>
      </c>
      <c r="D91" s="2" t="s">
        <v>2976</v>
      </c>
      <c r="E91" s="26" t="s">
        <v>2574</v>
      </c>
      <c r="F91" s="2" t="s">
        <v>2587</v>
      </c>
      <c r="G91" s="2" t="s">
        <v>2544</v>
      </c>
      <c r="H91" s="2" t="s">
        <v>2456</v>
      </c>
      <c r="I91" s="203">
        <f t="shared" si="12"/>
        <v>6328.187</v>
      </c>
      <c r="J91" s="203">
        <v>43.17</v>
      </c>
      <c r="K91" s="302">
        <f t="shared" si="13"/>
        <v>146.5876071345842</v>
      </c>
      <c r="L91" s="2">
        <v>36</v>
      </c>
      <c r="M91" s="13">
        <f t="shared" si="14"/>
        <v>175.7829722222222</v>
      </c>
      <c r="N91" s="220">
        <f ca="1" t="shared" si="15"/>
        <v>96</v>
      </c>
      <c r="O91" s="33">
        <v>1</v>
      </c>
      <c r="P91" s="1" t="s">
        <v>2576</v>
      </c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</row>
    <row r="92" spans="2:47" s="37" customFormat="1" ht="30" customHeight="1">
      <c r="B92" s="25">
        <v>41715</v>
      </c>
      <c r="C92" s="2" t="s">
        <v>480</v>
      </c>
      <c r="D92" s="2" t="s">
        <v>2977</v>
      </c>
      <c r="E92" s="26" t="s">
        <v>2588</v>
      </c>
      <c r="F92" s="2" t="s">
        <v>2589</v>
      </c>
      <c r="G92" s="2" t="s">
        <v>2534</v>
      </c>
      <c r="H92" s="2" t="s">
        <v>2535</v>
      </c>
      <c r="I92" s="203">
        <f aca="true" t="shared" si="16" ref="I92:I97">4745.76+854.24</f>
        <v>5600</v>
      </c>
      <c r="J92" s="203">
        <v>43.11</v>
      </c>
      <c r="K92" s="302">
        <f t="shared" si="13"/>
        <v>129.90025516121548</v>
      </c>
      <c r="L92" s="2">
        <v>60</v>
      </c>
      <c r="M92" s="13">
        <f t="shared" si="14"/>
        <v>93.33333333333333</v>
      </c>
      <c r="N92" s="220">
        <f ca="1" t="shared" si="15"/>
        <v>95</v>
      </c>
      <c r="O92" s="33">
        <v>1</v>
      </c>
      <c r="P92" s="1" t="s">
        <v>273</v>
      </c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</row>
    <row r="93" spans="2:47" s="37" customFormat="1" ht="27.75" customHeight="1">
      <c r="B93" s="25">
        <v>41715</v>
      </c>
      <c r="C93" s="2" t="s">
        <v>480</v>
      </c>
      <c r="D93" s="2" t="s">
        <v>2978</v>
      </c>
      <c r="E93" s="26" t="s">
        <v>2588</v>
      </c>
      <c r="F93" s="2" t="s">
        <v>2589</v>
      </c>
      <c r="G93" s="2" t="s">
        <v>2552</v>
      </c>
      <c r="H93" s="2" t="s">
        <v>2459</v>
      </c>
      <c r="I93" s="203">
        <f t="shared" si="16"/>
        <v>5600</v>
      </c>
      <c r="J93" s="203">
        <v>43.11</v>
      </c>
      <c r="K93" s="302">
        <f t="shared" si="13"/>
        <v>129.90025516121548</v>
      </c>
      <c r="L93" s="2">
        <v>60</v>
      </c>
      <c r="M93" s="13">
        <f t="shared" si="14"/>
        <v>93.33333333333333</v>
      </c>
      <c r="N93" s="220">
        <f ca="1" t="shared" si="15"/>
        <v>95</v>
      </c>
      <c r="O93" s="33">
        <v>1</v>
      </c>
      <c r="P93" s="1" t="s">
        <v>273</v>
      </c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</row>
    <row r="94" spans="2:47" s="37" customFormat="1" ht="39.75" customHeight="1">
      <c r="B94" s="25">
        <v>41715</v>
      </c>
      <c r="C94" s="2" t="s">
        <v>480</v>
      </c>
      <c r="D94" s="2" t="s">
        <v>2979</v>
      </c>
      <c r="E94" s="26" t="s">
        <v>2588</v>
      </c>
      <c r="F94" s="2" t="s">
        <v>2589</v>
      </c>
      <c r="G94" s="2" t="s">
        <v>2538</v>
      </c>
      <c r="H94" s="2" t="s">
        <v>2539</v>
      </c>
      <c r="I94" s="203">
        <f t="shared" si="16"/>
        <v>5600</v>
      </c>
      <c r="J94" s="203">
        <v>43.11</v>
      </c>
      <c r="K94" s="302">
        <f t="shared" si="13"/>
        <v>129.90025516121548</v>
      </c>
      <c r="L94" s="2">
        <v>60</v>
      </c>
      <c r="M94" s="13">
        <f t="shared" si="14"/>
        <v>93.33333333333333</v>
      </c>
      <c r="N94" s="220">
        <f ca="1" t="shared" si="15"/>
        <v>95</v>
      </c>
      <c r="O94" s="33">
        <v>1</v>
      </c>
      <c r="P94" s="1" t="s">
        <v>273</v>
      </c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</row>
    <row r="95" spans="2:47" s="37" customFormat="1" ht="39.75" customHeight="1">
      <c r="B95" s="25">
        <v>41715</v>
      </c>
      <c r="C95" s="2" t="s">
        <v>480</v>
      </c>
      <c r="D95" s="2" t="s">
        <v>2980</v>
      </c>
      <c r="E95" s="26" t="s">
        <v>2588</v>
      </c>
      <c r="F95" s="2" t="s">
        <v>2589</v>
      </c>
      <c r="G95" s="2" t="s">
        <v>2526</v>
      </c>
      <c r="H95" s="2" t="s">
        <v>2527</v>
      </c>
      <c r="I95" s="203">
        <f t="shared" si="16"/>
        <v>5600</v>
      </c>
      <c r="J95" s="203">
        <v>43.11</v>
      </c>
      <c r="K95" s="302">
        <f t="shared" si="13"/>
        <v>129.90025516121548</v>
      </c>
      <c r="L95" s="2">
        <v>60</v>
      </c>
      <c r="M95" s="13">
        <f t="shared" si="14"/>
        <v>93.33333333333333</v>
      </c>
      <c r="N95" s="220">
        <f ca="1" t="shared" si="15"/>
        <v>95</v>
      </c>
      <c r="O95" s="33">
        <v>1</v>
      </c>
      <c r="P95" s="1" t="s">
        <v>273</v>
      </c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</row>
    <row r="96" spans="2:47" s="37" customFormat="1" ht="39.75" customHeight="1">
      <c r="B96" s="25">
        <v>41715</v>
      </c>
      <c r="C96" s="2" t="s">
        <v>480</v>
      </c>
      <c r="D96" s="2" t="s">
        <v>2981</v>
      </c>
      <c r="E96" s="26" t="s">
        <v>2588</v>
      </c>
      <c r="F96" s="2" t="s">
        <v>2589</v>
      </c>
      <c r="G96" s="2" t="s">
        <v>2542</v>
      </c>
      <c r="H96" s="2" t="s">
        <v>2465</v>
      </c>
      <c r="I96" s="203">
        <f t="shared" si="16"/>
        <v>5600</v>
      </c>
      <c r="J96" s="203">
        <v>43.11</v>
      </c>
      <c r="K96" s="302">
        <f t="shared" si="13"/>
        <v>129.90025516121548</v>
      </c>
      <c r="L96" s="2">
        <v>60</v>
      </c>
      <c r="M96" s="13">
        <f t="shared" si="14"/>
        <v>93.33333333333333</v>
      </c>
      <c r="N96" s="220">
        <f ca="1" t="shared" si="15"/>
        <v>95</v>
      </c>
      <c r="O96" s="33">
        <v>1</v>
      </c>
      <c r="P96" s="1" t="s">
        <v>273</v>
      </c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</row>
    <row r="97" spans="2:47" s="37" customFormat="1" ht="39.75" customHeight="1">
      <c r="B97" s="25">
        <v>41715</v>
      </c>
      <c r="C97" s="2" t="s">
        <v>480</v>
      </c>
      <c r="D97" s="2" t="s">
        <v>2982</v>
      </c>
      <c r="E97" s="26" t="s">
        <v>2588</v>
      </c>
      <c r="F97" s="2" t="s">
        <v>2589</v>
      </c>
      <c r="G97" s="2" t="s">
        <v>2544</v>
      </c>
      <c r="H97" s="2" t="s">
        <v>2456</v>
      </c>
      <c r="I97" s="203">
        <f t="shared" si="16"/>
        <v>5600</v>
      </c>
      <c r="J97" s="203">
        <v>43.11</v>
      </c>
      <c r="K97" s="302">
        <f t="shared" si="13"/>
        <v>129.90025516121548</v>
      </c>
      <c r="L97" s="2">
        <v>60</v>
      </c>
      <c r="M97" s="13">
        <f t="shared" si="14"/>
        <v>93.33333333333333</v>
      </c>
      <c r="N97" s="220">
        <f ca="1" t="shared" si="15"/>
        <v>95</v>
      </c>
      <c r="O97" s="33">
        <v>1</v>
      </c>
      <c r="P97" s="1" t="s">
        <v>273</v>
      </c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</row>
    <row r="98" spans="2:47" s="37" customFormat="1" ht="47.25" customHeight="1">
      <c r="B98" s="25">
        <v>41729</v>
      </c>
      <c r="C98" s="2" t="s">
        <v>2590</v>
      </c>
      <c r="D98" s="2" t="s">
        <v>2983</v>
      </c>
      <c r="E98" s="26" t="s">
        <v>2591</v>
      </c>
      <c r="F98" s="2" t="s">
        <v>2592</v>
      </c>
      <c r="G98" s="2" t="s">
        <v>2548</v>
      </c>
      <c r="H98" s="2" t="s">
        <v>2549</v>
      </c>
      <c r="I98" s="203">
        <f>26916.71*18%+26916.71</f>
        <v>31761.7178</v>
      </c>
      <c r="J98" s="203">
        <v>43.0585</v>
      </c>
      <c r="K98" s="302">
        <f>+I98/J98</f>
        <v>737.6410650626473</v>
      </c>
      <c r="L98" s="2">
        <v>60</v>
      </c>
      <c r="M98" s="13">
        <f>IF(AND(I98&lt;&gt;0,L98&lt;&gt;0),I98/L98,0)</f>
        <v>529.3619633333333</v>
      </c>
      <c r="N98" s="220">
        <f ca="1">IF(B98&lt;&gt;0,(ROUND((NOW()-B98)/30,0)),0)</f>
        <v>95</v>
      </c>
      <c r="O98" s="33">
        <v>1</v>
      </c>
      <c r="P98" s="1" t="s">
        <v>562</v>
      </c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</row>
    <row r="99" spans="2:47" s="37" customFormat="1" ht="47.25" customHeight="1">
      <c r="B99" s="25">
        <v>41729</v>
      </c>
      <c r="C99" s="2" t="s">
        <v>2590</v>
      </c>
      <c r="D99" s="2" t="s">
        <v>2984</v>
      </c>
      <c r="E99" s="26" t="s">
        <v>2591</v>
      </c>
      <c r="F99" s="2" t="s">
        <v>2593</v>
      </c>
      <c r="G99" s="2" t="s">
        <v>2559</v>
      </c>
      <c r="H99" s="2" t="s">
        <v>2560</v>
      </c>
      <c r="I99" s="203">
        <f>26916.71*18%+26916.71</f>
        <v>31761.7178</v>
      </c>
      <c r="J99" s="203">
        <v>43.0585</v>
      </c>
      <c r="K99" s="302">
        <f>+I99/J99</f>
        <v>737.6410650626473</v>
      </c>
      <c r="L99" s="2">
        <v>60</v>
      </c>
      <c r="M99" s="13">
        <f>IF(AND(I99&lt;&gt;0,L99&lt;&gt;0),I99/L99,0)</f>
        <v>529.3619633333333</v>
      </c>
      <c r="N99" s="220">
        <f ca="1">IF(B99&lt;&gt;0,(ROUND((NOW()-B99)/30,0)),0)</f>
        <v>95</v>
      </c>
      <c r="O99" s="33">
        <v>1</v>
      </c>
      <c r="P99" s="1" t="s">
        <v>562</v>
      </c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</row>
    <row r="100" spans="2:47" s="37" customFormat="1" ht="46.5" customHeight="1">
      <c r="B100" s="25">
        <v>41729</v>
      </c>
      <c r="C100" s="2" t="s">
        <v>2590</v>
      </c>
      <c r="D100" s="2" t="s">
        <v>2985</v>
      </c>
      <c r="E100" s="26" t="s">
        <v>2591</v>
      </c>
      <c r="F100" s="2" t="s">
        <v>2594</v>
      </c>
      <c r="G100" s="2" t="s">
        <v>2562</v>
      </c>
      <c r="H100" s="2" t="s">
        <v>2563</v>
      </c>
      <c r="I100" s="203">
        <f aca="true" t="shared" si="17" ref="I100:I107">26916.71*18%+26916.71</f>
        <v>31761.7178</v>
      </c>
      <c r="J100" s="203">
        <v>43.0585</v>
      </c>
      <c r="K100" s="302">
        <f aca="true" t="shared" si="18" ref="K100:K107">+I100/J100</f>
        <v>737.6410650626473</v>
      </c>
      <c r="L100" s="2">
        <v>60</v>
      </c>
      <c r="M100" s="13">
        <f aca="true" t="shared" si="19" ref="M100:M107">IF(AND(I100&lt;&gt;0,L100&lt;&gt;0),I100/L100,0)</f>
        <v>529.3619633333333</v>
      </c>
      <c r="N100" s="220">
        <f aca="true" ca="1" t="shared" si="20" ref="N100:N107">IF(B100&lt;&gt;0,(ROUND((NOW()-B100)/30,0)),0)</f>
        <v>95</v>
      </c>
      <c r="O100" s="33">
        <v>1</v>
      </c>
      <c r="P100" s="1" t="s">
        <v>562</v>
      </c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</row>
    <row r="101" spans="2:47" s="37" customFormat="1" ht="51" customHeight="1">
      <c r="B101" s="25">
        <v>41729</v>
      </c>
      <c r="C101" s="2" t="s">
        <v>2590</v>
      </c>
      <c r="D101" s="2" t="s">
        <v>2986</v>
      </c>
      <c r="E101" s="26" t="s">
        <v>2591</v>
      </c>
      <c r="F101" s="2" t="s">
        <v>2595</v>
      </c>
      <c r="G101" s="2" t="s">
        <v>2538</v>
      </c>
      <c r="H101" s="2" t="s">
        <v>2539</v>
      </c>
      <c r="I101" s="203">
        <f t="shared" si="17"/>
        <v>31761.7178</v>
      </c>
      <c r="J101" s="203">
        <v>43.0585</v>
      </c>
      <c r="K101" s="302">
        <f t="shared" si="18"/>
        <v>737.6410650626473</v>
      </c>
      <c r="L101" s="2">
        <v>60</v>
      </c>
      <c r="M101" s="13">
        <f t="shared" si="19"/>
        <v>529.3619633333333</v>
      </c>
      <c r="N101" s="220">
        <f ca="1" t="shared" si="20"/>
        <v>95</v>
      </c>
      <c r="O101" s="33">
        <v>1</v>
      </c>
      <c r="P101" s="1" t="s">
        <v>562</v>
      </c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</row>
    <row r="102" spans="2:47" s="37" customFormat="1" ht="48" customHeight="1">
      <c r="B102" s="25">
        <v>41729</v>
      </c>
      <c r="C102" s="2" t="s">
        <v>2590</v>
      </c>
      <c r="D102" s="2" t="s">
        <v>2987</v>
      </c>
      <c r="E102" s="26" t="s">
        <v>2591</v>
      </c>
      <c r="F102" s="2" t="s">
        <v>2596</v>
      </c>
      <c r="G102" s="2" t="s">
        <v>2526</v>
      </c>
      <c r="H102" s="2" t="s">
        <v>2527</v>
      </c>
      <c r="I102" s="203">
        <f t="shared" si="17"/>
        <v>31761.7178</v>
      </c>
      <c r="J102" s="203">
        <v>43.0585</v>
      </c>
      <c r="K102" s="302">
        <f t="shared" si="18"/>
        <v>737.6410650626473</v>
      </c>
      <c r="L102" s="2">
        <v>60</v>
      </c>
      <c r="M102" s="13">
        <f t="shared" si="19"/>
        <v>529.3619633333333</v>
      </c>
      <c r="N102" s="220">
        <f ca="1" t="shared" si="20"/>
        <v>95</v>
      </c>
      <c r="O102" s="33">
        <v>1</v>
      </c>
      <c r="P102" s="1" t="s">
        <v>562</v>
      </c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</row>
    <row r="103" spans="2:47" s="37" customFormat="1" ht="51" customHeight="1">
      <c r="B103" s="25">
        <v>41729</v>
      </c>
      <c r="C103" s="2" t="s">
        <v>2590</v>
      </c>
      <c r="D103" s="2" t="s">
        <v>2988</v>
      </c>
      <c r="E103" s="26" t="s">
        <v>2591</v>
      </c>
      <c r="F103" s="2" t="s">
        <v>2597</v>
      </c>
      <c r="G103" s="2" t="s">
        <v>2526</v>
      </c>
      <c r="H103" s="2" t="s">
        <v>2527</v>
      </c>
      <c r="I103" s="203">
        <f t="shared" si="17"/>
        <v>31761.7178</v>
      </c>
      <c r="J103" s="203">
        <v>43.0585</v>
      </c>
      <c r="K103" s="302">
        <f t="shared" si="18"/>
        <v>737.6410650626473</v>
      </c>
      <c r="L103" s="2">
        <v>60</v>
      </c>
      <c r="M103" s="13">
        <f t="shared" si="19"/>
        <v>529.3619633333333</v>
      </c>
      <c r="N103" s="220">
        <f ca="1" t="shared" si="20"/>
        <v>95</v>
      </c>
      <c r="O103" s="33">
        <v>1</v>
      </c>
      <c r="P103" s="1" t="s">
        <v>562</v>
      </c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</row>
    <row r="104" spans="2:47" s="37" customFormat="1" ht="51.75" customHeight="1">
      <c r="B104" s="25">
        <v>41729</v>
      </c>
      <c r="C104" s="2" t="s">
        <v>2590</v>
      </c>
      <c r="D104" s="2" t="s">
        <v>2989</v>
      </c>
      <c r="E104" s="26" t="s">
        <v>2591</v>
      </c>
      <c r="F104" s="2" t="s">
        <v>2598</v>
      </c>
      <c r="G104" s="2" t="s">
        <v>2542</v>
      </c>
      <c r="H104" s="2" t="s">
        <v>2465</v>
      </c>
      <c r="I104" s="203">
        <f t="shared" si="17"/>
        <v>31761.7178</v>
      </c>
      <c r="J104" s="203">
        <v>43.0585</v>
      </c>
      <c r="K104" s="302">
        <f t="shared" si="18"/>
        <v>737.6410650626473</v>
      </c>
      <c r="L104" s="2">
        <v>60</v>
      </c>
      <c r="M104" s="13">
        <f t="shared" si="19"/>
        <v>529.3619633333333</v>
      </c>
      <c r="N104" s="220">
        <f ca="1" t="shared" si="20"/>
        <v>95</v>
      </c>
      <c r="O104" s="33">
        <v>1</v>
      </c>
      <c r="P104" s="1" t="s">
        <v>562</v>
      </c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</row>
    <row r="105" spans="2:47" s="37" customFormat="1" ht="51.75" customHeight="1">
      <c r="B105" s="25">
        <v>41729</v>
      </c>
      <c r="C105" s="2" t="s">
        <v>2590</v>
      </c>
      <c r="D105" s="2" t="s">
        <v>2990</v>
      </c>
      <c r="E105" s="26" t="s">
        <v>2591</v>
      </c>
      <c r="F105" s="2" t="s">
        <v>2599</v>
      </c>
      <c r="G105" s="2" t="s">
        <v>2542</v>
      </c>
      <c r="H105" s="2" t="s">
        <v>2465</v>
      </c>
      <c r="I105" s="203">
        <f t="shared" si="17"/>
        <v>31761.7178</v>
      </c>
      <c r="J105" s="203">
        <v>43.0585</v>
      </c>
      <c r="K105" s="302">
        <f t="shared" si="18"/>
        <v>737.6410650626473</v>
      </c>
      <c r="L105" s="2">
        <v>60</v>
      </c>
      <c r="M105" s="13">
        <f t="shared" si="19"/>
        <v>529.3619633333333</v>
      </c>
      <c r="N105" s="220">
        <f ca="1" t="shared" si="20"/>
        <v>95</v>
      </c>
      <c r="O105" s="33">
        <v>1</v>
      </c>
      <c r="P105" s="1" t="s">
        <v>562</v>
      </c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</row>
    <row r="106" spans="2:47" s="37" customFormat="1" ht="50.25" customHeight="1">
      <c r="B106" s="25">
        <v>41729</v>
      </c>
      <c r="C106" s="2" t="s">
        <v>2590</v>
      </c>
      <c r="D106" s="2" t="s">
        <v>2991</v>
      </c>
      <c r="E106" s="26" t="s">
        <v>2591</v>
      </c>
      <c r="F106" s="2" t="s">
        <v>2600</v>
      </c>
      <c r="G106" s="2" t="s">
        <v>2544</v>
      </c>
      <c r="H106" s="2" t="s">
        <v>2456</v>
      </c>
      <c r="I106" s="203">
        <f t="shared" si="17"/>
        <v>31761.7178</v>
      </c>
      <c r="J106" s="203">
        <v>43.0585</v>
      </c>
      <c r="K106" s="302">
        <f t="shared" si="18"/>
        <v>737.6410650626473</v>
      </c>
      <c r="L106" s="2">
        <v>60</v>
      </c>
      <c r="M106" s="13">
        <f t="shared" si="19"/>
        <v>529.3619633333333</v>
      </c>
      <c r="N106" s="220">
        <f ca="1" t="shared" si="20"/>
        <v>95</v>
      </c>
      <c r="O106" s="33">
        <v>1</v>
      </c>
      <c r="P106" s="1" t="s">
        <v>562</v>
      </c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</row>
    <row r="107" spans="2:47" s="37" customFormat="1" ht="50.25" customHeight="1">
      <c r="B107" s="25">
        <v>41729</v>
      </c>
      <c r="C107" s="2" t="s">
        <v>2590</v>
      </c>
      <c r="D107" s="2" t="s">
        <v>2992</v>
      </c>
      <c r="E107" s="26" t="s">
        <v>2591</v>
      </c>
      <c r="F107" s="2" t="s">
        <v>2601</v>
      </c>
      <c r="G107" s="2" t="s">
        <v>2544</v>
      </c>
      <c r="H107" s="2" t="s">
        <v>2456</v>
      </c>
      <c r="I107" s="203">
        <f t="shared" si="17"/>
        <v>31761.7178</v>
      </c>
      <c r="J107" s="203">
        <v>43.0585</v>
      </c>
      <c r="K107" s="302">
        <f t="shared" si="18"/>
        <v>737.6410650626473</v>
      </c>
      <c r="L107" s="2">
        <v>60</v>
      </c>
      <c r="M107" s="13">
        <f t="shared" si="19"/>
        <v>529.3619633333333</v>
      </c>
      <c r="N107" s="220">
        <f ca="1" t="shared" si="20"/>
        <v>95</v>
      </c>
      <c r="O107" s="33">
        <v>1</v>
      </c>
      <c r="P107" s="1" t="s">
        <v>562</v>
      </c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</row>
    <row r="108" spans="2:47" s="37" customFormat="1" ht="30" customHeight="1">
      <c r="B108" s="25">
        <v>41729</v>
      </c>
      <c r="C108" s="2" t="s">
        <v>2590</v>
      </c>
      <c r="D108" s="2" t="s">
        <v>2993</v>
      </c>
      <c r="E108" s="26" t="s">
        <v>3002</v>
      </c>
      <c r="F108" s="2" t="s">
        <v>2602</v>
      </c>
      <c r="G108" s="2" t="s">
        <v>2548</v>
      </c>
      <c r="H108" s="2" t="s">
        <v>2549</v>
      </c>
      <c r="I108" s="203">
        <f>27585.36*18%+27585.36</f>
        <v>32550.7248</v>
      </c>
      <c r="J108" s="203">
        <v>43.0585</v>
      </c>
      <c r="K108" s="302">
        <f>+I108/J108</f>
        <v>755.965135803616</v>
      </c>
      <c r="L108" s="2">
        <v>60</v>
      </c>
      <c r="M108" s="13">
        <f>IF(AND(I108&lt;&gt;0,L108&lt;&gt;0),I108/L108,0)</f>
        <v>542.51208</v>
      </c>
      <c r="N108" s="220">
        <f ca="1">IF(B108&lt;&gt;0,(ROUND((NOW()-B108)/30,0)),0)</f>
        <v>95</v>
      </c>
      <c r="O108" s="33">
        <v>1</v>
      </c>
      <c r="P108" s="1" t="s">
        <v>562</v>
      </c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</row>
    <row r="109" spans="2:47" s="37" customFormat="1" ht="27.75" customHeight="1">
      <c r="B109" s="25">
        <v>41729</v>
      </c>
      <c r="C109" s="2" t="s">
        <v>2590</v>
      </c>
      <c r="D109" s="2" t="s">
        <v>2994</v>
      </c>
      <c r="E109" s="26" t="s">
        <v>3002</v>
      </c>
      <c r="F109" s="2" t="s">
        <v>2603</v>
      </c>
      <c r="G109" s="2" t="s">
        <v>2534</v>
      </c>
      <c r="H109" s="2" t="s">
        <v>2535</v>
      </c>
      <c r="I109" s="203">
        <f aca="true" t="shared" si="21" ref="I109:I115">27585.36*18%+27585.36</f>
        <v>32550.7248</v>
      </c>
      <c r="J109" s="203">
        <v>43.0585</v>
      </c>
      <c r="K109" s="302">
        <f aca="true" t="shared" si="22" ref="K109:K115">+I109/J109</f>
        <v>755.965135803616</v>
      </c>
      <c r="L109" s="2">
        <v>60</v>
      </c>
      <c r="M109" s="13">
        <f aca="true" t="shared" si="23" ref="M109:M115">IF(AND(I109&lt;&gt;0,L109&lt;&gt;0),I109/L109,0)</f>
        <v>542.51208</v>
      </c>
      <c r="N109" s="220">
        <f aca="true" ca="1" t="shared" si="24" ref="N109:N115">IF(B109&lt;&gt;0,(ROUND((NOW()-B109)/30,0)),0)</f>
        <v>95</v>
      </c>
      <c r="O109" s="33">
        <v>1</v>
      </c>
      <c r="P109" s="1" t="s">
        <v>562</v>
      </c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</row>
    <row r="110" spans="2:47" s="37" customFormat="1" ht="28.5" customHeight="1">
      <c r="B110" s="25">
        <v>41729</v>
      </c>
      <c r="C110" s="2" t="s">
        <v>2590</v>
      </c>
      <c r="D110" s="2" t="s">
        <v>2995</v>
      </c>
      <c r="E110" s="26" t="s">
        <v>3002</v>
      </c>
      <c r="F110" s="2" t="s">
        <v>2604</v>
      </c>
      <c r="G110" s="2" t="s">
        <v>2578</v>
      </c>
      <c r="H110" s="2" t="s">
        <v>2579</v>
      </c>
      <c r="I110" s="203">
        <f t="shared" si="21"/>
        <v>32550.7248</v>
      </c>
      <c r="J110" s="203">
        <v>43.0585</v>
      </c>
      <c r="K110" s="302">
        <f t="shared" si="22"/>
        <v>755.965135803616</v>
      </c>
      <c r="L110" s="2">
        <v>60</v>
      </c>
      <c r="M110" s="13">
        <f t="shared" si="23"/>
        <v>542.51208</v>
      </c>
      <c r="N110" s="220">
        <f ca="1" t="shared" si="24"/>
        <v>95</v>
      </c>
      <c r="O110" s="33">
        <v>1</v>
      </c>
      <c r="P110" s="1" t="s">
        <v>562</v>
      </c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</row>
    <row r="111" spans="2:47" s="37" customFormat="1" ht="39.75" customHeight="1">
      <c r="B111" s="25">
        <v>41729</v>
      </c>
      <c r="C111" s="2" t="s">
        <v>2590</v>
      </c>
      <c r="D111" s="2" t="s">
        <v>2996</v>
      </c>
      <c r="E111" s="26" t="s">
        <v>3002</v>
      </c>
      <c r="F111" s="2" t="s">
        <v>2605</v>
      </c>
      <c r="G111" s="2" t="s">
        <v>2552</v>
      </c>
      <c r="H111" s="2" t="s">
        <v>2459</v>
      </c>
      <c r="I111" s="203">
        <f t="shared" si="21"/>
        <v>32550.7248</v>
      </c>
      <c r="J111" s="203">
        <v>43.0585</v>
      </c>
      <c r="K111" s="302">
        <f t="shared" si="22"/>
        <v>755.965135803616</v>
      </c>
      <c r="L111" s="2">
        <v>60</v>
      </c>
      <c r="M111" s="13">
        <f t="shared" si="23"/>
        <v>542.51208</v>
      </c>
      <c r="N111" s="220">
        <f ca="1" t="shared" si="24"/>
        <v>95</v>
      </c>
      <c r="O111" s="33">
        <v>1</v>
      </c>
      <c r="P111" s="1" t="s">
        <v>562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</row>
    <row r="112" spans="2:47" s="37" customFormat="1" ht="39.75" customHeight="1">
      <c r="B112" s="25">
        <v>41729</v>
      </c>
      <c r="C112" s="2" t="s">
        <v>2590</v>
      </c>
      <c r="D112" s="2" t="s">
        <v>2997</v>
      </c>
      <c r="E112" s="26" t="s">
        <v>3002</v>
      </c>
      <c r="F112" s="2" t="s">
        <v>2606</v>
      </c>
      <c r="G112" s="2" t="s">
        <v>2538</v>
      </c>
      <c r="H112" s="2" t="s">
        <v>2539</v>
      </c>
      <c r="I112" s="203">
        <f t="shared" si="21"/>
        <v>32550.7248</v>
      </c>
      <c r="J112" s="203">
        <v>43.0585</v>
      </c>
      <c r="K112" s="302">
        <f t="shared" si="22"/>
        <v>755.965135803616</v>
      </c>
      <c r="L112" s="2">
        <v>60</v>
      </c>
      <c r="M112" s="13">
        <f t="shared" si="23"/>
        <v>542.51208</v>
      </c>
      <c r="N112" s="220">
        <f ca="1" t="shared" si="24"/>
        <v>95</v>
      </c>
      <c r="O112" s="33">
        <v>1</v>
      </c>
      <c r="P112" s="1" t="s">
        <v>562</v>
      </c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</row>
    <row r="113" spans="2:47" s="37" customFormat="1" ht="39.75" customHeight="1">
      <c r="B113" s="25">
        <v>41729</v>
      </c>
      <c r="C113" s="2" t="s">
        <v>2590</v>
      </c>
      <c r="D113" s="2" t="s">
        <v>2998</v>
      </c>
      <c r="E113" s="26" t="s">
        <v>3002</v>
      </c>
      <c r="F113" s="2" t="s">
        <v>2607</v>
      </c>
      <c r="G113" s="2" t="s">
        <v>2526</v>
      </c>
      <c r="H113" s="2" t="s">
        <v>2527</v>
      </c>
      <c r="I113" s="203">
        <f t="shared" si="21"/>
        <v>32550.7248</v>
      </c>
      <c r="J113" s="203">
        <v>43.0585</v>
      </c>
      <c r="K113" s="302">
        <f t="shared" si="22"/>
        <v>755.965135803616</v>
      </c>
      <c r="L113" s="2">
        <v>60</v>
      </c>
      <c r="M113" s="13">
        <f t="shared" si="23"/>
        <v>542.51208</v>
      </c>
      <c r="N113" s="220">
        <f ca="1" t="shared" si="24"/>
        <v>95</v>
      </c>
      <c r="O113" s="33">
        <v>1</v>
      </c>
      <c r="P113" s="1" t="s">
        <v>562</v>
      </c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</row>
    <row r="114" spans="2:47" s="37" customFormat="1" ht="27.75" customHeight="1">
      <c r="B114" s="25">
        <v>41729</v>
      </c>
      <c r="C114" s="2" t="s">
        <v>2590</v>
      </c>
      <c r="D114" s="2" t="s">
        <v>2999</v>
      </c>
      <c r="E114" s="26" t="s">
        <v>3002</v>
      </c>
      <c r="F114" s="2" t="s">
        <v>2608</v>
      </c>
      <c r="G114" s="2" t="s">
        <v>2542</v>
      </c>
      <c r="H114" s="2" t="s">
        <v>2465</v>
      </c>
      <c r="I114" s="203">
        <f t="shared" si="21"/>
        <v>32550.7248</v>
      </c>
      <c r="J114" s="203">
        <v>43.0585</v>
      </c>
      <c r="K114" s="302">
        <f t="shared" si="22"/>
        <v>755.965135803616</v>
      </c>
      <c r="L114" s="2">
        <v>60</v>
      </c>
      <c r="M114" s="13">
        <f t="shared" si="23"/>
        <v>542.51208</v>
      </c>
      <c r="N114" s="220">
        <f ca="1" t="shared" si="24"/>
        <v>95</v>
      </c>
      <c r="O114" s="33">
        <v>1</v>
      </c>
      <c r="P114" s="1" t="s">
        <v>562</v>
      </c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</row>
    <row r="115" spans="2:47" s="37" customFormat="1" ht="24.75" customHeight="1">
      <c r="B115" s="25">
        <v>41729</v>
      </c>
      <c r="C115" s="2" t="s">
        <v>2590</v>
      </c>
      <c r="D115" s="2" t="s">
        <v>3000</v>
      </c>
      <c r="E115" s="26" t="s">
        <v>3002</v>
      </c>
      <c r="F115" s="2" t="s">
        <v>2609</v>
      </c>
      <c r="G115" s="2" t="s">
        <v>2544</v>
      </c>
      <c r="H115" s="2" t="s">
        <v>2456</v>
      </c>
      <c r="I115" s="203">
        <f t="shared" si="21"/>
        <v>32550.7248</v>
      </c>
      <c r="J115" s="203">
        <v>43.0585</v>
      </c>
      <c r="K115" s="302">
        <f t="shared" si="22"/>
        <v>755.965135803616</v>
      </c>
      <c r="L115" s="2">
        <v>60</v>
      </c>
      <c r="M115" s="13">
        <f t="shared" si="23"/>
        <v>542.51208</v>
      </c>
      <c r="N115" s="220">
        <f ca="1" t="shared" si="24"/>
        <v>95</v>
      </c>
      <c r="O115" s="33">
        <v>1</v>
      </c>
      <c r="P115" s="1" t="s">
        <v>562</v>
      </c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</row>
    <row r="116" spans="2:47" s="37" customFormat="1" ht="8.25" customHeight="1">
      <c r="B116" s="52"/>
      <c r="C116" s="54"/>
      <c r="D116" s="54"/>
      <c r="E116" s="53"/>
      <c r="F116" s="54"/>
      <c r="G116" s="54"/>
      <c r="H116" s="54"/>
      <c r="I116" s="300"/>
      <c r="J116" s="55"/>
      <c r="K116" s="300"/>
      <c r="L116" s="53"/>
      <c r="M116" s="56"/>
      <c r="N116" s="56"/>
      <c r="O116" s="56"/>
      <c r="P116" s="53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</row>
    <row r="117" spans="2:24" s="37" customFormat="1" ht="15.75" customHeight="1" thickBot="1">
      <c r="B117" s="57"/>
      <c r="C117" s="228"/>
      <c r="D117" s="678" t="s">
        <v>335</v>
      </c>
      <c r="E117" s="678"/>
      <c r="F117" s="678"/>
      <c r="G117" s="678"/>
      <c r="H117" s="448"/>
      <c r="I117" s="442">
        <f>SUBTOTAL(9,I6:I115)</f>
        <v>3038427.1964</v>
      </c>
      <c r="J117" s="449"/>
      <c r="K117" s="442">
        <f>SUBTOTAL(9,K6:K115)</f>
        <v>73491.67526689134</v>
      </c>
      <c r="L117" s="450"/>
      <c r="M117" s="451"/>
      <c r="N117" s="452"/>
      <c r="O117" s="447">
        <f>SUBTOTAL(9,O6:O115)</f>
        <v>110</v>
      </c>
      <c r="P117" s="59"/>
      <c r="T117" s="39"/>
      <c r="U117" s="39"/>
      <c r="V117" s="39"/>
      <c r="W117" s="39"/>
      <c r="X117" s="39"/>
    </row>
    <row r="118" spans="2:24" s="37" customFormat="1" ht="8.25" customHeight="1" thickTop="1">
      <c r="B118" s="204"/>
      <c r="D118" s="205"/>
      <c r="E118" s="235"/>
      <c r="F118" s="236"/>
      <c r="G118" s="236"/>
      <c r="H118" s="206"/>
      <c r="I118" s="207"/>
      <c r="J118" s="208"/>
      <c r="K118" s="209"/>
      <c r="L118" s="210"/>
      <c r="M118" s="73"/>
      <c r="N118" s="74"/>
      <c r="O118" s="211"/>
      <c r="P118" s="212"/>
      <c r="T118" s="39"/>
      <c r="U118" s="39"/>
      <c r="V118" s="39"/>
      <c r="W118" s="39"/>
      <c r="X118" s="39"/>
    </row>
    <row r="119" spans="2:24" s="37" customFormat="1" ht="8.25" customHeight="1">
      <c r="B119" s="204"/>
      <c r="C119" s="229"/>
      <c r="D119" s="229"/>
      <c r="H119" s="213"/>
      <c r="I119" s="214"/>
      <c r="J119" s="208"/>
      <c r="K119" s="209"/>
      <c r="L119" s="210"/>
      <c r="M119" s="215"/>
      <c r="N119" s="74"/>
      <c r="O119" s="211"/>
      <c r="P119" s="212"/>
      <c r="T119" s="39"/>
      <c r="U119" s="39"/>
      <c r="V119" s="39"/>
      <c r="W119" s="39"/>
      <c r="X119" s="39"/>
    </row>
    <row r="120" spans="2:24" s="37" customFormat="1" ht="12" thickBot="1">
      <c r="B120" s="60"/>
      <c r="C120" s="61"/>
      <c r="D120" s="63"/>
      <c r="E120" s="62"/>
      <c r="F120" s="63"/>
      <c r="G120" s="63"/>
      <c r="H120" s="63"/>
      <c r="I120" s="64"/>
      <c r="J120" s="39"/>
      <c r="K120" s="65"/>
      <c r="L120" s="66"/>
      <c r="M120" s="67"/>
      <c r="N120" s="68"/>
      <c r="O120" s="65"/>
      <c r="P120" s="69"/>
      <c r="T120" s="39"/>
      <c r="U120" s="39"/>
      <c r="V120" s="39"/>
      <c r="W120" s="39"/>
      <c r="X120" s="39"/>
    </row>
    <row r="121" spans="2:24" s="37" customFormat="1" ht="17.25" customHeight="1">
      <c r="B121" s="60"/>
      <c r="D121" s="63"/>
      <c r="E121" s="62"/>
      <c r="F121" s="681" t="s">
        <v>39</v>
      </c>
      <c r="G121" s="682"/>
      <c r="H121" s="683"/>
      <c r="I121" s="72"/>
      <c r="J121" s="39"/>
      <c r="K121" s="72"/>
      <c r="L121" s="66"/>
      <c r="M121" s="73"/>
      <c r="N121" s="74"/>
      <c r="O121" s="65"/>
      <c r="P121" s="69"/>
      <c r="T121" s="39"/>
      <c r="U121" s="39"/>
      <c r="V121" s="39"/>
      <c r="W121" s="39"/>
      <c r="X121" s="39"/>
    </row>
    <row r="122" spans="2:24" s="37" customFormat="1" ht="25.5">
      <c r="B122" s="60"/>
      <c r="C122" s="63"/>
      <c r="D122" s="63"/>
      <c r="E122" s="62"/>
      <c r="F122" s="388"/>
      <c r="G122" s="389" t="s">
        <v>40</v>
      </c>
      <c r="H122" s="390" t="s">
        <v>41</v>
      </c>
      <c r="I122" s="75"/>
      <c r="J122" s="73" t="s">
        <v>336</v>
      </c>
      <c r="K122" s="28" t="s">
        <v>816</v>
      </c>
      <c r="L122" s="66"/>
      <c r="M122" s="67"/>
      <c r="N122" s="68"/>
      <c r="O122" s="65"/>
      <c r="P122" s="69"/>
      <c r="T122" s="39"/>
      <c r="U122" s="39"/>
      <c r="V122" s="39"/>
      <c r="W122" s="39"/>
      <c r="X122" s="39"/>
    </row>
    <row r="123" spans="2:24" s="37" customFormat="1" ht="19.5" customHeight="1">
      <c r="B123" s="60"/>
      <c r="C123" s="230"/>
      <c r="D123" s="230"/>
      <c r="E123" s="77"/>
      <c r="F123" s="394" t="s">
        <v>617</v>
      </c>
      <c r="G123" s="399">
        <f>SUM(I6:I45)</f>
        <v>1166918.41</v>
      </c>
      <c r="H123" s="400">
        <f>SUM(K6:K45)</f>
        <v>29929.162549852426</v>
      </c>
      <c r="I123" s="78"/>
      <c r="L123" s="79"/>
      <c r="M123" s="79"/>
      <c r="N123" s="79"/>
      <c r="O123" s="65"/>
      <c r="P123" s="69"/>
      <c r="T123" s="39"/>
      <c r="U123" s="39"/>
      <c r="V123" s="39"/>
      <c r="W123" s="39"/>
      <c r="X123" s="39"/>
    </row>
    <row r="124" spans="2:24" s="37" customFormat="1" ht="19.5" customHeight="1">
      <c r="B124" s="60"/>
      <c r="C124" s="230"/>
      <c r="D124" s="230"/>
      <c r="E124" s="77"/>
      <c r="F124" s="394" t="s">
        <v>618</v>
      </c>
      <c r="G124" s="401">
        <f>SUM(I46:I51)</f>
        <v>95733.40000000001</v>
      </c>
      <c r="H124" s="402">
        <f>SUM(K46:K51)</f>
        <v>2250.5891098101474</v>
      </c>
      <c r="I124" s="78"/>
      <c r="J124" s="73" t="s">
        <v>531</v>
      </c>
      <c r="K124" s="74" t="s">
        <v>532</v>
      </c>
      <c r="L124" s="79"/>
      <c r="M124" s="79"/>
      <c r="N124" s="79"/>
      <c r="O124" s="65"/>
      <c r="P124" s="69"/>
      <c r="T124" s="39"/>
      <c r="U124" s="39"/>
      <c r="V124" s="39"/>
      <c r="W124" s="39"/>
      <c r="X124" s="39"/>
    </row>
    <row r="125" spans="2:24" s="37" customFormat="1" ht="19.5" customHeight="1">
      <c r="B125" s="60"/>
      <c r="C125" s="230"/>
      <c r="D125" s="230"/>
      <c r="E125" s="77"/>
      <c r="F125" s="394" t="s">
        <v>619</v>
      </c>
      <c r="G125" s="399">
        <f>SUM(I52:I115)</f>
        <v>1775775.3863999993</v>
      </c>
      <c r="H125" s="400">
        <f>SUM(K52:K115)</f>
        <v>41311.92360722865</v>
      </c>
      <c r="I125" s="78"/>
      <c r="L125" s="79"/>
      <c r="M125" s="79"/>
      <c r="N125" s="79"/>
      <c r="O125" s="65"/>
      <c r="P125" s="69"/>
      <c r="T125" s="39"/>
      <c r="U125" s="39"/>
      <c r="V125" s="39"/>
      <c r="W125" s="39"/>
      <c r="X125" s="39"/>
    </row>
    <row r="126" spans="2:24" s="37" customFormat="1" ht="19.5" customHeight="1">
      <c r="B126" s="60"/>
      <c r="C126" s="230"/>
      <c r="D126" s="230"/>
      <c r="E126" s="77"/>
      <c r="F126" s="394" t="s">
        <v>732</v>
      </c>
      <c r="G126" s="399">
        <v>0</v>
      </c>
      <c r="H126" s="400">
        <v>0</v>
      </c>
      <c r="I126" s="78"/>
      <c r="J126" s="27" t="s">
        <v>815</v>
      </c>
      <c r="K126" s="28" t="s">
        <v>3001</v>
      </c>
      <c r="L126" s="79"/>
      <c r="M126" s="79"/>
      <c r="N126" s="79"/>
      <c r="O126" s="65"/>
      <c r="P126" s="69"/>
      <c r="T126" s="39"/>
      <c r="U126" s="39"/>
      <c r="V126" s="39"/>
      <c r="W126" s="39"/>
      <c r="X126" s="39"/>
    </row>
    <row r="127" spans="2:24" s="37" customFormat="1" ht="19.5" customHeight="1">
      <c r="B127" s="60"/>
      <c r="C127" s="230"/>
      <c r="D127" s="230"/>
      <c r="E127" s="77"/>
      <c r="F127" s="394" t="s">
        <v>745</v>
      </c>
      <c r="G127" s="399">
        <v>0</v>
      </c>
      <c r="H127" s="400">
        <v>0</v>
      </c>
      <c r="I127" s="78"/>
      <c r="J127" s="27"/>
      <c r="K127" s="28"/>
      <c r="L127" s="79"/>
      <c r="M127" s="79"/>
      <c r="N127" s="79"/>
      <c r="O127" s="65"/>
      <c r="P127" s="69"/>
      <c r="T127" s="39"/>
      <c r="U127" s="39"/>
      <c r="V127" s="39"/>
      <c r="W127" s="39"/>
      <c r="X127" s="39"/>
    </row>
    <row r="128" spans="2:24" s="37" customFormat="1" ht="19.5" customHeight="1">
      <c r="B128" s="60"/>
      <c r="C128" s="230"/>
      <c r="D128" s="230"/>
      <c r="E128" s="77"/>
      <c r="F128" s="394" t="s">
        <v>797</v>
      </c>
      <c r="G128" s="399">
        <v>0</v>
      </c>
      <c r="H128" s="400">
        <v>0</v>
      </c>
      <c r="I128" s="78"/>
      <c r="J128" s="79"/>
      <c r="K128" s="78"/>
      <c r="L128" s="79"/>
      <c r="M128" s="79"/>
      <c r="N128" s="79"/>
      <c r="O128" s="65"/>
      <c r="P128" s="69"/>
      <c r="T128" s="39"/>
      <c r="U128" s="39"/>
      <c r="V128" s="39"/>
      <c r="W128" s="39"/>
      <c r="X128" s="39"/>
    </row>
    <row r="129" spans="2:24" s="37" customFormat="1" ht="19.5" customHeight="1">
      <c r="B129" s="60"/>
      <c r="C129" s="230"/>
      <c r="D129" s="230"/>
      <c r="E129" s="77"/>
      <c r="F129" s="394" t="s">
        <v>818</v>
      </c>
      <c r="G129" s="399">
        <v>0</v>
      </c>
      <c r="H129" s="400">
        <v>0</v>
      </c>
      <c r="I129" s="36" t="s">
        <v>3720</v>
      </c>
      <c r="J129" s="16"/>
      <c r="K129" s="79"/>
      <c r="L129" s="79"/>
      <c r="M129" s="79"/>
      <c r="N129" s="65"/>
      <c r="O129" s="62"/>
      <c r="P129" s="39"/>
      <c r="T129" s="39"/>
      <c r="U129" s="39"/>
      <c r="V129" s="39"/>
      <c r="W129" s="39"/>
      <c r="X129" s="39"/>
    </row>
    <row r="130" spans="2:24" s="37" customFormat="1" ht="19.5" customHeight="1">
      <c r="B130" s="60"/>
      <c r="C130" s="230"/>
      <c r="D130" s="230"/>
      <c r="E130" s="77"/>
      <c r="F130" s="394" t="s">
        <v>2700</v>
      </c>
      <c r="G130" s="399">
        <v>0</v>
      </c>
      <c r="H130" s="400">
        <v>0</v>
      </c>
      <c r="I130" s="12"/>
      <c r="J130" s="16"/>
      <c r="K130" s="39"/>
      <c r="L130" s="39"/>
      <c r="M130" s="39"/>
      <c r="N130" s="39"/>
      <c r="O130" s="62"/>
      <c r="P130" s="39"/>
      <c r="T130" s="39"/>
      <c r="U130" s="39"/>
      <c r="V130" s="39"/>
      <c r="W130" s="39"/>
      <c r="X130" s="39"/>
    </row>
    <row r="131" spans="2:24" s="37" customFormat="1" ht="19.5" customHeight="1">
      <c r="B131" s="60"/>
      <c r="C131" s="230"/>
      <c r="D131" s="230"/>
      <c r="E131" s="77"/>
      <c r="F131" s="394" t="s">
        <v>3307</v>
      </c>
      <c r="G131" s="399">
        <v>0</v>
      </c>
      <c r="H131" s="400">
        <v>0</v>
      </c>
      <c r="I131" s="36" t="s">
        <v>3575</v>
      </c>
      <c r="J131" s="16"/>
      <c r="K131" s="39"/>
      <c r="L131" s="39"/>
      <c r="M131" s="39"/>
      <c r="N131" s="39"/>
      <c r="O131" s="62"/>
      <c r="P131" s="39"/>
      <c r="T131" s="39"/>
      <c r="U131" s="39"/>
      <c r="V131" s="39"/>
      <c r="W131" s="39"/>
      <c r="X131" s="39"/>
    </row>
    <row r="132" spans="2:24" s="37" customFormat="1" ht="19.5" customHeight="1">
      <c r="B132" s="60"/>
      <c r="C132" s="230"/>
      <c r="D132" s="230"/>
      <c r="E132" s="77"/>
      <c r="F132" s="395" t="s">
        <v>3573</v>
      </c>
      <c r="G132" s="403" t="s">
        <v>374</v>
      </c>
      <c r="H132" s="404" t="s">
        <v>374</v>
      </c>
      <c r="I132" s="36"/>
      <c r="J132" s="16"/>
      <c r="K132" s="39"/>
      <c r="L132" s="39"/>
      <c r="M132" s="39"/>
      <c r="N132" s="39"/>
      <c r="O132" s="62"/>
      <c r="P132" s="39"/>
      <c r="T132" s="39"/>
      <c r="U132" s="39"/>
      <c r="V132" s="39"/>
      <c r="W132" s="39"/>
      <c r="X132" s="39"/>
    </row>
    <row r="133" spans="2:24" s="37" customFormat="1" ht="19.5" customHeight="1" thickBot="1">
      <c r="B133" s="60"/>
      <c r="C133" s="230"/>
      <c r="D133" s="230"/>
      <c r="E133" s="77"/>
      <c r="F133" s="391" t="s">
        <v>345</v>
      </c>
      <c r="G133" s="392">
        <f>SUM(G123:G131)</f>
        <v>3038427.196399999</v>
      </c>
      <c r="H133" s="393">
        <f>SUM(H123:H131)</f>
        <v>73491.67526689122</v>
      </c>
      <c r="T133" s="39"/>
      <c r="U133" s="39"/>
      <c r="V133" s="39"/>
      <c r="W133" s="39"/>
      <c r="X133" s="39"/>
    </row>
    <row r="134" spans="2:24" s="37" customFormat="1" ht="15" customHeight="1">
      <c r="B134" s="60"/>
      <c r="C134" s="63"/>
      <c r="D134" s="63"/>
      <c r="E134" s="62"/>
      <c r="F134" s="216"/>
      <c r="G134" s="217"/>
      <c r="H134" s="217"/>
      <c r="T134" s="39"/>
      <c r="U134" s="39"/>
      <c r="V134" s="39"/>
      <c r="W134" s="39"/>
      <c r="X134" s="39"/>
    </row>
    <row r="135" spans="2:24" s="37" customFormat="1" ht="12.75">
      <c r="B135" s="60"/>
      <c r="C135" s="63"/>
      <c r="D135" s="63"/>
      <c r="E135" s="62"/>
      <c r="F135" s="82"/>
      <c r="G135" s="83"/>
      <c r="H135" s="83"/>
      <c r="I135" s="80"/>
      <c r="J135" s="39"/>
      <c r="K135" s="39"/>
      <c r="L135" s="39"/>
      <c r="M135" s="39"/>
      <c r="N135" s="39"/>
      <c r="O135" s="39"/>
      <c r="P135" s="69"/>
      <c r="T135" s="39"/>
      <c r="U135" s="39"/>
      <c r="V135" s="39"/>
      <c r="W135" s="39"/>
      <c r="X135" s="39"/>
    </row>
    <row r="136" spans="2:24" s="37" customFormat="1" ht="12" customHeight="1">
      <c r="B136" s="60"/>
      <c r="C136" s="63"/>
      <c r="D136" s="63"/>
      <c r="E136" s="62"/>
      <c r="F136" s="82"/>
      <c r="G136" s="83"/>
      <c r="H136" s="83"/>
      <c r="I136" s="80"/>
      <c r="J136" s="39"/>
      <c r="K136" s="39"/>
      <c r="L136" s="39"/>
      <c r="M136" s="39"/>
      <c r="N136" s="39"/>
      <c r="O136" s="39"/>
      <c r="P136" s="69"/>
      <c r="T136" s="39"/>
      <c r="U136" s="39"/>
      <c r="V136" s="39"/>
      <c r="W136" s="39"/>
      <c r="X136" s="39"/>
    </row>
    <row r="137" spans="2:24" s="112" customFormat="1" ht="15">
      <c r="B137" s="502" t="s">
        <v>334</v>
      </c>
      <c r="C137" s="231"/>
      <c r="D137" s="231"/>
      <c r="E137" s="218"/>
      <c r="F137" s="219"/>
      <c r="G137" s="684" t="s">
        <v>511</v>
      </c>
      <c r="H137" s="684"/>
      <c r="I137" s="110"/>
      <c r="J137" s="684" t="s">
        <v>65</v>
      </c>
      <c r="K137" s="684"/>
      <c r="L137" s="684"/>
      <c r="M137" s="684"/>
      <c r="N137" s="111"/>
      <c r="O137" s="684" t="s">
        <v>65</v>
      </c>
      <c r="P137" s="685"/>
      <c r="T137" s="113"/>
      <c r="U137" s="113"/>
      <c r="V137" s="113"/>
      <c r="W137" s="113"/>
      <c r="X137" s="113"/>
    </row>
    <row r="138" spans="2:24" s="37" customFormat="1" ht="12.75">
      <c r="B138" s="60"/>
      <c r="C138" s="63"/>
      <c r="D138" s="63"/>
      <c r="E138" s="62"/>
      <c r="F138" s="82"/>
      <c r="G138" s="83"/>
      <c r="H138" s="83"/>
      <c r="I138" s="80"/>
      <c r="J138" s="39"/>
      <c r="K138" s="39"/>
      <c r="L138" s="39"/>
      <c r="M138" s="83"/>
      <c r="N138" s="39"/>
      <c r="O138" s="39"/>
      <c r="P138" s="69"/>
      <c r="T138" s="39"/>
      <c r="U138" s="39"/>
      <c r="V138" s="39"/>
      <c r="W138" s="39"/>
      <c r="X138" s="39"/>
    </row>
    <row r="139" spans="2:24" s="37" customFormat="1" ht="12.75">
      <c r="B139" s="60"/>
      <c r="C139" s="63"/>
      <c r="D139" s="63"/>
      <c r="E139" s="62"/>
      <c r="F139" s="82"/>
      <c r="G139" s="83"/>
      <c r="H139" s="83"/>
      <c r="I139" s="80"/>
      <c r="J139" s="39"/>
      <c r="K139" s="39"/>
      <c r="L139" s="39"/>
      <c r="M139" s="83"/>
      <c r="N139" s="39"/>
      <c r="O139" s="39"/>
      <c r="P139" s="69"/>
      <c r="T139" s="39"/>
      <c r="U139" s="39"/>
      <c r="V139" s="39"/>
      <c r="W139" s="39"/>
      <c r="X139" s="39"/>
    </row>
    <row r="140" spans="2:24" s="37" customFormat="1" ht="12.75">
      <c r="B140" s="501" t="s">
        <v>3744</v>
      </c>
      <c r="C140" s="63"/>
      <c r="D140" s="63"/>
      <c r="E140" s="62"/>
      <c r="F140" s="82"/>
      <c r="G140" s="95"/>
      <c r="H140" s="95"/>
      <c r="I140" s="80"/>
      <c r="J140" s="97"/>
      <c r="K140" s="97"/>
      <c r="L140" s="97"/>
      <c r="M140" s="95"/>
      <c r="N140" s="39"/>
      <c r="O140" s="97"/>
      <c r="P140" s="98"/>
      <c r="T140" s="39"/>
      <c r="U140" s="39"/>
      <c r="V140" s="39"/>
      <c r="W140" s="39"/>
      <c r="X140" s="39"/>
    </row>
    <row r="141" spans="2:24" s="37" customFormat="1" ht="15">
      <c r="B141" s="506" t="s">
        <v>3738</v>
      </c>
      <c r="C141" s="333"/>
      <c r="D141" s="333"/>
      <c r="E141" s="271"/>
      <c r="F141" s="468"/>
      <c r="G141" s="676" t="s">
        <v>639</v>
      </c>
      <c r="H141" s="676"/>
      <c r="I141" s="469"/>
      <c r="J141" s="676" t="s">
        <v>3501</v>
      </c>
      <c r="K141" s="676"/>
      <c r="L141" s="676"/>
      <c r="M141" s="676"/>
      <c r="N141" s="337"/>
      <c r="O141" s="676" t="s">
        <v>2610</v>
      </c>
      <c r="P141" s="677"/>
      <c r="T141" s="39"/>
      <c r="U141" s="39"/>
      <c r="V141" s="39"/>
      <c r="W141" s="39"/>
      <c r="X141" s="39"/>
    </row>
    <row r="142" spans="2:24" s="119" customFormat="1" ht="15">
      <c r="B142" s="504" t="s">
        <v>3502</v>
      </c>
      <c r="C142" s="466"/>
      <c r="D142" s="336"/>
      <c r="E142" s="337"/>
      <c r="F142" s="118"/>
      <c r="G142" s="679" t="s">
        <v>640</v>
      </c>
      <c r="H142" s="679"/>
      <c r="I142" s="247"/>
      <c r="J142" s="679" t="s">
        <v>3511</v>
      </c>
      <c r="K142" s="679"/>
      <c r="L142" s="679"/>
      <c r="M142" s="679"/>
      <c r="N142" s="248"/>
      <c r="O142" s="679" t="s">
        <v>3737</v>
      </c>
      <c r="P142" s="680"/>
      <c r="T142" s="120"/>
      <c r="U142" s="120"/>
      <c r="V142" s="120"/>
      <c r="W142" s="120"/>
      <c r="X142" s="120"/>
    </row>
    <row r="143" spans="2:24" s="37" customFormat="1" ht="12.75">
      <c r="B143" s="503" t="s">
        <v>3735</v>
      </c>
      <c r="C143" s="232"/>
      <c r="D143" s="232"/>
      <c r="E143" s="116"/>
      <c r="F143" s="94"/>
      <c r="G143" s="95"/>
      <c r="H143" s="95"/>
      <c r="I143" s="96"/>
      <c r="J143" s="97"/>
      <c r="K143" s="97"/>
      <c r="L143" s="97"/>
      <c r="M143" s="97"/>
      <c r="N143" s="97"/>
      <c r="O143" s="97"/>
      <c r="P143" s="98"/>
      <c r="T143" s="39"/>
      <c r="U143" s="39"/>
      <c r="V143" s="39"/>
      <c r="W143" s="39"/>
      <c r="X143" s="39"/>
    </row>
    <row r="145" ht="12.75">
      <c r="G145" s="124"/>
    </row>
    <row r="147" ht="12.75">
      <c r="G147" s="126"/>
    </row>
    <row r="151" ht="12.75">
      <c r="E151" s="129"/>
    </row>
  </sheetData>
  <sheetProtection/>
  <mergeCells count="11">
    <mergeCell ref="O137:P137"/>
    <mergeCell ref="G141:H141"/>
    <mergeCell ref="J141:M141"/>
    <mergeCell ref="O141:P141"/>
    <mergeCell ref="D117:G117"/>
    <mergeCell ref="G142:H142"/>
    <mergeCell ref="J142:M142"/>
    <mergeCell ref="O142:P142"/>
    <mergeCell ref="F121:H121"/>
    <mergeCell ref="G137:H137"/>
    <mergeCell ref="J137:M13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3" fitToWidth="3" orientation="landscape" scale="70" r:id="rId2"/>
  <headerFooter alignWithMargins="0">
    <oddHeader>&amp;R
</oddHeader>
    <oddFooter>&amp;C&amp;"Arial,Negrita"Pág. &amp;P - 9</oddFooter>
  </headerFooter>
  <rowBreaks count="8" manualBreakCount="8">
    <brk id="18" min="1" max="15" man="1"/>
    <brk id="31" min="1" max="15" man="1"/>
    <brk id="45" min="1" max="15" man="1"/>
    <brk id="59" min="1" max="15" man="1"/>
    <brk id="72" min="1" max="15" man="1"/>
    <brk id="87" min="1" max="15" man="1"/>
    <brk id="102" min="1" max="15" man="1"/>
    <brk id="119" min="1" max="15" man="1"/>
  </rowBreaks>
  <ignoredErrors>
    <ignoredError sqref="O117" unlockedFormula="1"/>
    <ignoredError sqref="F66:F72 F73:F7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AU80"/>
  <sheetViews>
    <sheetView zoomScale="110" zoomScaleNormal="110" zoomScalePageLayoutView="0" workbookViewId="0" topLeftCell="A1">
      <pane xSplit="3" topLeftCell="D1" activePane="topRight" state="frozen"/>
      <selection pane="topLeft" activeCell="A373" sqref="A373"/>
      <selection pane="topRight" activeCell="I33" sqref="I33:I34"/>
    </sheetView>
  </sheetViews>
  <sheetFormatPr defaultColWidth="11.421875" defaultRowHeight="12.75"/>
  <cols>
    <col min="1" max="1" width="1.28515625" style="122" customWidth="1"/>
    <col min="2" max="2" width="9.140625" style="122" customWidth="1"/>
    <col min="3" max="3" width="9.57421875" style="122" customWidth="1"/>
    <col min="4" max="4" width="11.28125" style="122" customWidth="1"/>
    <col min="5" max="5" width="27.7109375" style="122" customWidth="1"/>
    <col min="6" max="6" width="14.28125" style="123" customWidth="1"/>
    <col min="7" max="7" width="14.28125" style="125" customWidth="1"/>
    <col min="8" max="8" width="17.57421875" style="125" customWidth="1"/>
    <col min="9" max="9" width="13.140625" style="122" customWidth="1"/>
    <col min="10" max="10" width="6.7109375" style="122" customWidth="1"/>
    <col min="11" max="11" width="10.421875" style="122" customWidth="1"/>
    <col min="12" max="12" width="6.28125" style="122" customWidth="1"/>
    <col min="13" max="13" width="11.421875" style="122" customWidth="1"/>
    <col min="14" max="14" width="8.421875" style="122" customWidth="1"/>
    <col min="15" max="15" width="12.28125" style="122" customWidth="1"/>
    <col min="16" max="16" width="15.7109375" style="122" customWidth="1"/>
    <col min="17" max="16384" width="11.421875" style="122" customWidth="1"/>
  </cols>
  <sheetData>
    <row r="1" spans="3:47" s="37" customFormat="1" ht="24.75" customHeight="1">
      <c r="C1" s="38"/>
      <c r="D1" s="255" t="s">
        <v>3506</v>
      </c>
      <c r="E1" s="263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3:47" s="37" customFormat="1" ht="21.75" customHeight="1">
      <c r="C2" s="38"/>
      <c r="D2" s="252" t="s">
        <v>3505</v>
      </c>
      <c r="E2" s="264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3:47" s="37" customFormat="1" ht="21.75" customHeight="1">
      <c r="C3" s="40"/>
      <c r="D3" s="249" t="s">
        <v>3722</v>
      </c>
      <c r="E3" s="264"/>
      <c r="F3" s="261"/>
      <c r="G3" s="261"/>
      <c r="H3" s="261"/>
      <c r="I3" s="40"/>
      <c r="J3" s="40"/>
      <c r="K3" s="40"/>
      <c r="L3" s="40"/>
      <c r="M3" s="40"/>
      <c r="N3" s="40"/>
      <c r="O3" s="40"/>
      <c r="P3" s="40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3:47" s="37" customFormat="1" ht="9.75" customHeight="1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</row>
    <row r="5" spans="2:47" s="43" customFormat="1" ht="33.75" customHeight="1">
      <c r="B5" s="432" t="s">
        <v>43</v>
      </c>
      <c r="C5" s="433" t="s">
        <v>1942</v>
      </c>
      <c r="D5" s="434" t="s">
        <v>1940</v>
      </c>
      <c r="E5" s="434" t="s">
        <v>44</v>
      </c>
      <c r="F5" s="434" t="s">
        <v>45</v>
      </c>
      <c r="G5" s="434" t="s">
        <v>3646</v>
      </c>
      <c r="H5" s="275" t="s">
        <v>3509</v>
      </c>
      <c r="I5" s="436" t="s">
        <v>54</v>
      </c>
      <c r="J5" s="436" t="s">
        <v>55</v>
      </c>
      <c r="K5" s="437" t="s">
        <v>56</v>
      </c>
      <c r="L5" s="438" t="s">
        <v>57</v>
      </c>
      <c r="M5" s="439" t="s">
        <v>58</v>
      </c>
      <c r="N5" s="440" t="s">
        <v>59</v>
      </c>
      <c r="O5" s="433" t="s">
        <v>60</v>
      </c>
      <c r="P5" s="433" t="s">
        <v>61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2:47" s="37" customFormat="1" ht="49.5" customHeight="1">
      <c r="B6" s="221">
        <v>42344</v>
      </c>
      <c r="C6" s="45" t="s">
        <v>2326</v>
      </c>
      <c r="D6" s="46" t="s">
        <v>2327</v>
      </c>
      <c r="E6" s="34" t="s">
        <v>2328</v>
      </c>
      <c r="F6" s="46" t="s">
        <v>42</v>
      </c>
      <c r="G6" s="46" t="s">
        <v>3485</v>
      </c>
      <c r="H6" s="46" t="s">
        <v>437</v>
      </c>
      <c r="I6" s="203">
        <f>6584+1185.12</f>
        <v>7769.12</v>
      </c>
      <c r="J6" s="35">
        <v>45.38</v>
      </c>
      <c r="K6" s="32">
        <f aca="true" t="shared" si="0" ref="K6:K11">+I6/J6</f>
        <v>171.20141031291317</v>
      </c>
      <c r="L6" s="46">
        <v>60</v>
      </c>
      <c r="M6" s="13">
        <f aca="true" t="shared" si="1" ref="M6:M11">IF(AND(K6&lt;&gt;0,L6&lt;&gt;0),K6/L6,0)</f>
        <v>2.8533568385485526</v>
      </c>
      <c r="N6" s="48">
        <f aca="true" ca="1" t="shared" si="2" ref="N6:N11">IF(B6&lt;&gt;0,(ROUND((NOW()-B6)/30,0)),0)</f>
        <v>74</v>
      </c>
      <c r="O6" s="33">
        <f aca="true" t="shared" si="3" ref="O6:O11">IF(OR(K6=0,L6=0,N6=0),0,K6-(M6*N6))</f>
        <v>-39.94699573967972</v>
      </c>
      <c r="P6" s="45" t="s">
        <v>1953</v>
      </c>
      <c r="Q6" s="39">
        <v>1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2:47" s="37" customFormat="1" ht="49.5" customHeight="1">
      <c r="B7" s="221">
        <v>42344</v>
      </c>
      <c r="C7" s="45" t="s">
        <v>2326</v>
      </c>
      <c r="D7" s="46" t="s">
        <v>2329</v>
      </c>
      <c r="E7" s="34" t="s">
        <v>2330</v>
      </c>
      <c r="F7" s="46" t="s">
        <v>42</v>
      </c>
      <c r="G7" s="46" t="s">
        <v>3607</v>
      </c>
      <c r="H7" s="46" t="s">
        <v>437</v>
      </c>
      <c r="I7" s="203">
        <f>5800+1044</f>
        <v>6844</v>
      </c>
      <c r="J7" s="35">
        <v>45.38</v>
      </c>
      <c r="K7" s="32">
        <f t="shared" si="0"/>
        <v>150.8153371529308</v>
      </c>
      <c r="L7" s="46">
        <v>60</v>
      </c>
      <c r="M7" s="13">
        <f t="shared" si="1"/>
        <v>2.5135889525488464</v>
      </c>
      <c r="N7" s="48">
        <f ca="1" t="shared" si="2"/>
        <v>74</v>
      </c>
      <c r="O7" s="33">
        <f t="shared" si="3"/>
        <v>-35.19024533568384</v>
      </c>
      <c r="P7" s="45" t="s">
        <v>1953</v>
      </c>
      <c r="Q7" s="39">
        <v>2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</row>
    <row r="8" spans="2:47" s="37" customFormat="1" ht="49.5" customHeight="1">
      <c r="B8" s="221">
        <v>42344</v>
      </c>
      <c r="C8" s="45" t="s">
        <v>2326</v>
      </c>
      <c r="D8" s="46" t="s">
        <v>2331</v>
      </c>
      <c r="E8" s="34" t="s">
        <v>2330</v>
      </c>
      <c r="F8" s="46" t="s">
        <v>42</v>
      </c>
      <c r="G8" s="46" t="s">
        <v>3607</v>
      </c>
      <c r="H8" s="46" t="s">
        <v>437</v>
      </c>
      <c r="I8" s="203">
        <f>5800+1044</f>
        <v>6844</v>
      </c>
      <c r="J8" s="35">
        <v>45.38</v>
      </c>
      <c r="K8" s="32">
        <f t="shared" si="0"/>
        <v>150.8153371529308</v>
      </c>
      <c r="L8" s="46">
        <v>60</v>
      </c>
      <c r="M8" s="13">
        <f t="shared" si="1"/>
        <v>2.5135889525488464</v>
      </c>
      <c r="N8" s="48">
        <f ca="1" t="shared" si="2"/>
        <v>74</v>
      </c>
      <c r="O8" s="33">
        <f t="shared" si="3"/>
        <v>-35.19024533568384</v>
      </c>
      <c r="P8" s="45" t="s">
        <v>1953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2:47" s="37" customFormat="1" ht="49.5" customHeight="1">
      <c r="B9" s="317">
        <v>42344</v>
      </c>
      <c r="C9" s="310" t="s">
        <v>2326</v>
      </c>
      <c r="D9" s="309" t="s">
        <v>2332</v>
      </c>
      <c r="E9" s="318" t="s">
        <v>2333</v>
      </c>
      <c r="F9" s="309" t="s">
        <v>42</v>
      </c>
      <c r="G9" s="309" t="s">
        <v>2871</v>
      </c>
      <c r="H9" s="309" t="s">
        <v>437</v>
      </c>
      <c r="I9" s="319">
        <f>8883+1598.94</f>
        <v>10481.94</v>
      </c>
      <c r="J9" s="320">
        <v>45.38</v>
      </c>
      <c r="K9" s="321">
        <f t="shared" si="0"/>
        <v>230.98148964301456</v>
      </c>
      <c r="L9" s="309">
        <v>120</v>
      </c>
      <c r="M9" s="294">
        <f t="shared" si="1"/>
        <v>1.9248457470251212</v>
      </c>
      <c r="N9" s="322">
        <f ca="1" t="shared" si="2"/>
        <v>74</v>
      </c>
      <c r="O9" s="296">
        <f t="shared" si="3"/>
        <v>88.54290436315557</v>
      </c>
      <c r="P9" s="310" t="s">
        <v>1953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</row>
    <row r="10" spans="2:47" s="37" customFormat="1" ht="49.5" customHeight="1">
      <c r="B10" s="317">
        <v>42344</v>
      </c>
      <c r="C10" s="310" t="s">
        <v>2326</v>
      </c>
      <c r="D10" s="309" t="s">
        <v>2334</v>
      </c>
      <c r="E10" s="318" t="s">
        <v>2333</v>
      </c>
      <c r="F10" s="309" t="s">
        <v>42</v>
      </c>
      <c r="G10" s="309" t="s">
        <v>2871</v>
      </c>
      <c r="H10" s="309" t="s">
        <v>437</v>
      </c>
      <c r="I10" s="319">
        <f>8883+1598.94</f>
        <v>10481.94</v>
      </c>
      <c r="J10" s="320">
        <v>45.38</v>
      </c>
      <c r="K10" s="321">
        <f t="shared" si="0"/>
        <v>230.98148964301456</v>
      </c>
      <c r="L10" s="309">
        <v>120</v>
      </c>
      <c r="M10" s="294">
        <f t="shared" si="1"/>
        <v>1.9248457470251212</v>
      </c>
      <c r="N10" s="322">
        <f ca="1" t="shared" si="2"/>
        <v>74</v>
      </c>
      <c r="O10" s="296">
        <f t="shared" si="3"/>
        <v>88.54290436315557</v>
      </c>
      <c r="P10" s="310" t="s">
        <v>1953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</row>
    <row r="11" spans="2:47" s="37" customFormat="1" ht="49.5" customHeight="1">
      <c r="B11" s="221">
        <v>42344</v>
      </c>
      <c r="C11" s="45" t="s">
        <v>2326</v>
      </c>
      <c r="D11" s="46" t="s">
        <v>2335</v>
      </c>
      <c r="E11" s="34" t="s">
        <v>1985</v>
      </c>
      <c r="F11" s="46" t="s">
        <v>42</v>
      </c>
      <c r="G11" s="46" t="s">
        <v>737</v>
      </c>
      <c r="H11" s="46" t="s">
        <v>437</v>
      </c>
      <c r="I11" s="203">
        <f>9950+1791</f>
        <v>11741</v>
      </c>
      <c r="J11" s="35">
        <v>45.38</v>
      </c>
      <c r="K11" s="32">
        <f t="shared" si="0"/>
        <v>258.72631115028645</v>
      </c>
      <c r="L11" s="46">
        <v>60</v>
      </c>
      <c r="M11" s="13">
        <f t="shared" si="1"/>
        <v>4.312105185838107</v>
      </c>
      <c r="N11" s="48">
        <f ca="1" t="shared" si="2"/>
        <v>74</v>
      </c>
      <c r="O11" s="33">
        <f t="shared" si="3"/>
        <v>-60.36947260173349</v>
      </c>
      <c r="P11" s="45" t="s">
        <v>1953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</row>
    <row r="12" spans="2:47" s="37" customFormat="1" ht="49.5" customHeight="1">
      <c r="B12" s="44">
        <v>42344</v>
      </c>
      <c r="C12" s="45" t="s">
        <v>2326</v>
      </c>
      <c r="D12" s="46" t="s">
        <v>2337</v>
      </c>
      <c r="E12" s="34" t="s">
        <v>2336</v>
      </c>
      <c r="F12" s="46" t="s">
        <v>42</v>
      </c>
      <c r="G12" s="46" t="s">
        <v>2696</v>
      </c>
      <c r="H12" s="46" t="s">
        <v>437</v>
      </c>
      <c r="I12" s="35">
        <f aca="true" t="shared" si="4" ref="I12:I17">3999+719.82</f>
        <v>4718.82</v>
      </c>
      <c r="J12" s="35">
        <v>45.38</v>
      </c>
      <c r="K12" s="32">
        <f aca="true" t="shared" si="5" ref="K12:K38">+I12/J12</f>
        <v>103.9845747025121</v>
      </c>
      <c r="L12" s="45">
        <v>120</v>
      </c>
      <c r="M12" s="47">
        <f aca="true" t="shared" si="6" ref="M12:M17">IF(AND(I12&lt;&gt;0,L12&lt;&gt;0),I12/L12,0)</f>
        <v>39.323499999999996</v>
      </c>
      <c r="N12" s="48">
        <f aca="true" ca="1" t="shared" si="7" ref="N12:N38">IF(B12&lt;&gt;0,(ROUND((NOW()-B12)/30,0)),0)</f>
        <v>74</v>
      </c>
      <c r="O12" s="33">
        <f aca="true" t="shared" si="8" ref="O12:O17">IF(OR(I12=0,L12=0,N12=0),0,I12-(M12*N12))</f>
        <v>1808.8809999999999</v>
      </c>
      <c r="P12" s="45" t="s">
        <v>1953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</row>
    <row r="13" spans="2:47" s="37" customFormat="1" ht="49.5" customHeight="1">
      <c r="B13" s="44">
        <v>42344</v>
      </c>
      <c r="C13" s="45" t="s">
        <v>2326</v>
      </c>
      <c r="D13" s="46" t="s">
        <v>2338</v>
      </c>
      <c r="E13" s="34" t="s">
        <v>2336</v>
      </c>
      <c r="F13" s="46" t="s">
        <v>42</v>
      </c>
      <c r="G13" s="46" t="s">
        <v>3640</v>
      </c>
      <c r="H13" s="46" t="s">
        <v>437</v>
      </c>
      <c r="I13" s="35">
        <f t="shared" si="4"/>
        <v>4718.82</v>
      </c>
      <c r="J13" s="35">
        <v>45.38</v>
      </c>
      <c r="K13" s="32">
        <f t="shared" si="5"/>
        <v>103.9845747025121</v>
      </c>
      <c r="L13" s="45">
        <v>120</v>
      </c>
      <c r="M13" s="47">
        <f t="shared" si="6"/>
        <v>39.323499999999996</v>
      </c>
      <c r="N13" s="48">
        <f ca="1" t="shared" si="7"/>
        <v>74</v>
      </c>
      <c r="O13" s="33">
        <f t="shared" si="8"/>
        <v>1808.8809999999999</v>
      </c>
      <c r="P13" s="45" t="s">
        <v>1953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</row>
    <row r="14" spans="2:47" s="37" customFormat="1" ht="49.5" customHeight="1">
      <c r="B14" s="44">
        <v>42344</v>
      </c>
      <c r="C14" s="45" t="s">
        <v>2326</v>
      </c>
      <c r="D14" s="46" t="s">
        <v>2339</v>
      </c>
      <c r="E14" s="34" t="s">
        <v>2336</v>
      </c>
      <c r="F14" s="46" t="s">
        <v>42</v>
      </c>
      <c r="G14" s="46" t="s">
        <v>3641</v>
      </c>
      <c r="H14" s="46" t="s">
        <v>437</v>
      </c>
      <c r="I14" s="35">
        <f t="shared" si="4"/>
        <v>4718.82</v>
      </c>
      <c r="J14" s="35">
        <v>45.38</v>
      </c>
      <c r="K14" s="32">
        <f t="shared" si="5"/>
        <v>103.9845747025121</v>
      </c>
      <c r="L14" s="45">
        <v>120</v>
      </c>
      <c r="M14" s="47">
        <f t="shared" si="6"/>
        <v>39.323499999999996</v>
      </c>
      <c r="N14" s="48">
        <f ca="1" t="shared" si="7"/>
        <v>74</v>
      </c>
      <c r="O14" s="33">
        <f t="shared" si="8"/>
        <v>1808.8809999999999</v>
      </c>
      <c r="P14" s="45" t="s">
        <v>1953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</row>
    <row r="15" spans="2:47" s="37" customFormat="1" ht="49.5" customHeight="1">
      <c r="B15" s="44">
        <v>42344</v>
      </c>
      <c r="C15" s="45" t="s">
        <v>2326</v>
      </c>
      <c r="D15" s="46" t="s">
        <v>2340</v>
      </c>
      <c r="E15" s="34" t="s">
        <v>2336</v>
      </c>
      <c r="F15" s="46" t="s">
        <v>42</v>
      </c>
      <c r="G15" s="46" t="s">
        <v>2870</v>
      </c>
      <c r="H15" s="46" t="s">
        <v>437</v>
      </c>
      <c r="I15" s="35">
        <f t="shared" si="4"/>
        <v>4718.82</v>
      </c>
      <c r="J15" s="35">
        <v>45.38</v>
      </c>
      <c r="K15" s="32">
        <f t="shared" si="5"/>
        <v>103.9845747025121</v>
      </c>
      <c r="L15" s="45">
        <v>120</v>
      </c>
      <c r="M15" s="47">
        <f t="shared" si="6"/>
        <v>39.323499999999996</v>
      </c>
      <c r="N15" s="48">
        <f ca="1" t="shared" si="7"/>
        <v>74</v>
      </c>
      <c r="O15" s="33">
        <f t="shared" si="8"/>
        <v>1808.8809999999999</v>
      </c>
      <c r="P15" s="45" t="s">
        <v>1953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</row>
    <row r="16" spans="2:47" s="37" customFormat="1" ht="49.5" customHeight="1">
      <c r="B16" s="44">
        <v>42344</v>
      </c>
      <c r="C16" s="45" t="s">
        <v>2326</v>
      </c>
      <c r="D16" s="46" t="s">
        <v>2341</v>
      </c>
      <c r="E16" s="34" t="s">
        <v>2336</v>
      </c>
      <c r="F16" s="46" t="s">
        <v>42</v>
      </c>
      <c r="G16" s="46" t="s">
        <v>3492</v>
      </c>
      <c r="H16" s="46" t="s">
        <v>437</v>
      </c>
      <c r="I16" s="35">
        <f t="shared" si="4"/>
        <v>4718.82</v>
      </c>
      <c r="J16" s="35">
        <v>45.38</v>
      </c>
      <c r="K16" s="32">
        <f t="shared" si="5"/>
        <v>103.9845747025121</v>
      </c>
      <c r="L16" s="45">
        <v>120</v>
      </c>
      <c r="M16" s="47">
        <f t="shared" si="6"/>
        <v>39.323499999999996</v>
      </c>
      <c r="N16" s="48">
        <f ca="1" t="shared" si="7"/>
        <v>74</v>
      </c>
      <c r="O16" s="33">
        <f t="shared" si="8"/>
        <v>1808.8809999999999</v>
      </c>
      <c r="P16" s="45" t="s">
        <v>1953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</row>
    <row r="17" spans="2:47" s="37" customFormat="1" ht="49.5" customHeight="1">
      <c r="B17" s="44">
        <v>42344</v>
      </c>
      <c r="C17" s="45" t="s">
        <v>2326</v>
      </c>
      <c r="D17" s="46" t="s">
        <v>2342</v>
      </c>
      <c r="E17" s="34" t="s">
        <v>2336</v>
      </c>
      <c r="F17" s="46" t="s">
        <v>42</v>
      </c>
      <c r="G17" s="46" t="s">
        <v>3487</v>
      </c>
      <c r="H17" s="46" t="s">
        <v>2343</v>
      </c>
      <c r="I17" s="35">
        <f t="shared" si="4"/>
        <v>4718.82</v>
      </c>
      <c r="J17" s="35">
        <v>45.38</v>
      </c>
      <c r="K17" s="32">
        <f t="shared" si="5"/>
        <v>103.9845747025121</v>
      </c>
      <c r="L17" s="45">
        <v>120</v>
      </c>
      <c r="M17" s="47">
        <f t="shared" si="6"/>
        <v>39.323499999999996</v>
      </c>
      <c r="N17" s="48">
        <f ca="1" t="shared" si="7"/>
        <v>74</v>
      </c>
      <c r="O17" s="33">
        <f t="shared" si="8"/>
        <v>1808.8809999999999</v>
      </c>
      <c r="P17" s="45" t="s">
        <v>1953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</row>
    <row r="18" spans="2:47" s="37" customFormat="1" ht="49.5" customHeight="1">
      <c r="B18" s="221">
        <v>42344</v>
      </c>
      <c r="C18" s="45" t="s">
        <v>2344</v>
      </c>
      <c r="D18" s="46" t="s">
        <v>2345</v>
      </c>
      <c r="E18" s="34" t="s">
        <v>2346</v>
      </c>
      <c r="F18" s="46" t="s">
        <v>2347</v>
      </c>
      <c r="G18" s="46" t="s">
        <v>81</v>
      </c>
      <c r="H18" s="46" t="s">
        <v>2348</v>
      </c>
      <c r="I18" s="35">
        <v>22500</v>
      </c>
      <c r="J18" s="35">
        <v>45.38</v>
      </c>
      <c r="K18" s="32">
        <f t="shared" si="5"/>
        <v>495.81313353900396</v>
      </c>
      <c r="L18" s="46">
        <v>60</v>
      </c>
      <c r="M18" s="47">
        <f aca="true" t="shared" si="9" ref="M18:M38">IF(AND(I18&lt;&gt;0,L18&lt;&gt;0),I18/L18,0)</f>
        <v>375</v>
      </c>
      <c r="N18" s="48">
        <f ca="1" t="shared" si="7"/>
        <v>74</v>
      </c>
      <c r="O18" s="33">
        <f>IF(OR(I18=0,L18=0,N18=0),0,I18-(M18*N18))</f>
        <v>-5250</v>
      </c>
      <c r="P18" s="45" t="s">
        <v>746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</row>
    <row r="19" spans="2:47" s="37" customFormat="1" ht="49.5" customHeight="1">
      <c r="B19" s="323">
        <v>42458</v>
      </c>
      <c r="C19" s="292" t="s">
        <v>2349</v>
      </c>
      <c r="D19" s="290" t="s">
        <v>2350</v>
      </c>
      <c r="E19" s="293" t="s">
        <v>2351</v>
      </c>
      <c r="F19" s="290" t="s">
        <v>2352</v>
      </c>
      <c r="G19" s="290" t="s">
        <v>3467</v>
      </c>
      <c r="H19" s="290" t="s">
        <v>437</v>
      </c>
      <c r="I19" s="320">
        <v>95403</v>
      </c>
      <c r="J19" s="320">
        <v>45.7366</v>
      </c>
      <c r="K19" s="321">
        <f t="shared" si="5"/>
        <v>2085.922434111849</v>
      </c>
      <c r="L19" s="309">
        <v>60</v>
      </c>
      <c r="M19" s="294">
        <f t="shared" si="9"/>
        <v>1590.05</v>
      </c>
      <c r="N19" s="295">
        <f ca="1" t="shared" si="7"/>
        <v>70</v>
      </c>
      <c r="O19" s="296">
        <f>IF(OR(I19=0,L19=0,N19=0),0,I19-(M19*N19))</f>
        <v>-15900.5</v>
      </c>
      <c r="P19" s="292" t="s">
        <v>2353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</row>
    <row r="20" spans="2:47" s="37" customFormat="1" ht="49.5" customHeight="1">
      <c r="B20" s="323">
        <v>42458</v>
      </c>
      <c r="C20" s="292" t="s">
        <v>2349</v>
      </c>
      <c r="D20" s="290" t="s">
        <v>2354</v>
      </c>
      <c r="E20" s="293" t="s">
        <v>2351</v>
      </c>
      <c r="F20" s="290" t="s">
        <v>2355</v>
      </c>
      <c r="G20" s="290" t="s">
        <v>3468</v>
      </c>
      <c r="H20" s="290" t="s">
        <v>437</v>
      </c>
      <c r="I20" s="320">
        <v>95403</v>
      </c>
      <c r="J20" s="320">
        <v>45.7366</v>
      </c>
      <c r="K20" s="321">
        <f t="shared" si="5"/>
        <v>2085.922434111849</v>
      </c>
      <c r="L20" s="309">
        <v>60</v>
      </c>
      <c r="M20" s="294">
        <f t="shared" si="9"/>
        <v>1590.05</v>
      </c>
      <c r="N20" s="295">
        <f ca="1" t="shared" si="7"/>
        <v>70</v>
      </c>
      <c r="O20" s="296">
        <f>IF(OR(I20=0,L20=0,N20=0),0,I20-(M20*N20))</f>
        <v>-15900.5</v>
      </c>
      <c r="P20" s="292" t="s">
        <v>2353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</row>
    <row r="21" spans="2:47" s="37" customFormat="1" ht="49.5" customHeight="1">
      <c r="B21" s="31">
        <v>42460</v>
      </c>
      <c r="C21" s="1" t="s">
        <v>2356</v>
      </c>
      <c r="D21" s="2" t="s">
        <v>2357</v>
      </c>
      <c r="E21" s="26" t="s">
        <v>2612</v>
      </c>
      <c r="F21" s="2" t="s">
        <v>2358</v>
      </c>
      <c r="G21" s="2" t="s">
        <v>3482</v>
      </c>
      <c r="H21" s="2" t="s">
        <v>437</v>
      </c>
      <c r="I21" s="35">
        <v>126117.81</v>
      </c>
      <c r="J21" s="35">
        <v>45.7355</v>
      </c>
      <c r="K21" s="32">
        <f t="shared" si="5"/>
        <v>2757.5474194006842</v>
      </c>
      <c r="L21" s="46">
        <v>120</v>
      </c>
      <c r="M21" s="13">
        <f t="shared" si="9"/>
        <v>1050.98175</v>
      </c>
      <c r="N21" s="14">
        <f ca="1" t="shared" si="7"/>
        <v>70</v>
      </c>
      <c r="O21" s="33">
        <f aca="true" t="shared" si="10" ref="O21:O34">IF(OR(I21=0,L21=0,N21=0),0,I21-(M21*N21))</f>
        <v>52549.08750000001</v>
      </c>
      <c r="P21" s="1" t="s">
        <v>2359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</row>
    <row r="22" spans="2:47" s="37" customFormat="1" ht="49.5" customHeight="1">
      <c r="B22" s="323">
        <v>42524</v>
      </c>
      <c r="C22" s="292" t="s">
        <v>2360</v>
      </c>
      <c r="D22" s="290" t="s">
        <v>2361</v>
      </c>
      <c r="E22" s="293" t="s">
        <v>2362</v>
      </c>
      <c r="F22" s="290" t="s">
        <v>3470</v>
      </c>
      <c r="G22" s="290" t="s">
        <v>2654</v>
      </c>
      <c r="H22" s="290" t="s">
        <v>437</v>
      </c>
      <c r="I22" s="320">
        <v>54390</v>
      </c>
      <c r="J22" s="320">
        <v>45.8296</v>
      </c>
      <c r="K22" s="321">
        <f t="shared" si="5"/>
        <v>1186.7875783336533</v>
      </c>
      <c r="L22" s="309">
        <v>120</v>
      </c>
      <c r="M22" s="294">
        <f t="shared" si="9"/>
        <v>453.25</v>
      </c>
      <c r="N22" s="295">
        <f ca="1" t="shared" si="7"/>
        <v>68</v>
      </c>
      <c r="O22" s="296">
        <f t="shared" si="10"/>
        <v>23569</v>
      </c>
      <c r="P22" s="292" t="s">
        <v>2002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</row>
    <row r="23" spans="2:47" s="37" customFormat="1" ht="49.5" customHeight="1">
      <c r="B23" s="323">
        <v>42524</v>
      </c>
      <c r="C23" s="292" t="s">
        <v>2360</v>
      </c>
      <c r="D23" s="290" t="s">
        <v>2363</v>
      </c>
      <c r="E23" s="293" t="s">
        <v>2364</v>
      </c>
      <c r="F23" s="290" t="s">
        <v>2365</v>
      </c>
      <c r="G23" s="290" t="s">
        <v>2655</v>
      </c>
      <c r="H23" s="290" t="s">
        <v>437</v>
      </c>
      <c r="I23" s="320">
        <v>54390</v>
      </c>
      <c r="J23" s="320">
        <v>45.8296</v>
      </c>
      <c r="K23" s="321">
        <f t="shared" si="5"/>
        <v>1186.7875783336533</v>
      </c>
      <c r="L23" s="309">
        <v>120</v>
      </c>
      <c r="M23" s="294">
        <f t="shared" si="9"/>
        <v>453.25</v>
      </c>
      <c r="N23" s="295">
        <f ca="1" t="shared" si="7"/>
        <v>68</v>
      </c>
      <c r="O23" s="296">
        <f t="shared" si="10"/>
        <v>23569</v>
      </c>
      <c r="P23" s="292" t="s">
        <v>2002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</row>
    <row r="24" spans="2:47" s="37" customFormat="1" ht="49.5" customHeight="1">
      <c r="B24" s="323">
        <v>42524</v>
      </c>
      <c r="C24" s="292" t="s">
        <v>2360</v>
      </c>
      <c r="D24" s="290" t="s">
        <v>2366</v>
      </c>
      <c r="E24" s="293" t="s">
        <v>2364</v>
      </c>
      <c r="F24" s="290" t="s">
        <v>2367</v>
      </c>
      <c r="G24" s="290" t="s">
        <v>81</v>
      </c>
      <c r="H24" s="290" t="s">
        <v>437</v>
      </c>
      <c r="I24" s="320">
        <v>54390</v>
      </c>
      <c r="J24" s="320">
        <v>45.8296</v>
      </c>
      <c r="K24" s="321">
        <f t="shared" si="5"/>
        <v>1186.7875783336533</v>
      </c>
      <c r="L24" s="309">
        <v>120</v>
      </c>
      <c r="M24" s="294">
        <f t="shared" si="9"/>
        <v>453.25</v>
      </c>
      <c r="N24" s="295">
        <f ca="1" t="shared" si="7"/>
        <v>68</v>
      </c>
      <c r="O24" s="296">
        <f t="shared" si="10"/>
        <v>23569</v>
      </c>
      <c r="P24" s="292" t="s">
        <v>2002</v>
      </c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</row>
    <row r="25" spans="2:47" s="37" customFormat="1" ht="49.5" customHeight="1">
      <c r="B25" s="323">
        <v>42524</v>
      </c>
      <c r="C25" s="292" t="s">
        <v>2360</v>
      </c>
      <c r="D25" s="290" t="s">
        <v>2368</v>
      </c>
      <c r="E25" s="293" t="s">
        <v>2364</v>
      </c>
      <c r="F25" s="290" t="s">
        <v>3462</v>
      </c>
      <c r="G25" s="290" t="s">
        <v>3642</v>
      </c>
      <c r="H25" s="290" t="s">
        <v>437</v>
      </c>
      <c r="I25" s="320">
        <v>54390</v>
      </c>
      <c r="J25" s="320">
        <v>45.8296</v>
      </c>
      <c r="K25" s="321">
        <f t="shared" si="5"/>
        <v>1186.7875783336533</v>
      </c>
      <c r="L25" s="309">
        <v>120</v>
      </c>
      <c r="M25" s="294">
        <f t="shared" si="9"/>
        <v>453.25</v>
      </c>
      <c r="N25" s="295">
        <f ca="1" t="shared" si="7"/>
        <v>68</v>
      </c>
      <c r="O25" s="296">
        <f t="shared" si="10"/>
        <v>23569</v>
      </c>
      <c r="P25" s="292" t="s">
        <v>2002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</row>
    <row r="26" spans="2:47" s="37" customFormat="1" ht="49.5" customHeight="1">
      <c r="B26" s="323">
        <v>42524</v>
      </c>
      <c r="C26" s="292" t="s">
        <v>2360</v>
      </c>
      <c r="D26" s="290" t="s">
        <v>2369</v>
      </c>
      <c r="E26" s="293" t="s">
        <v>2364</v>
      </c>
      <c r="F26" s="290" t="s">
        <v>2370</v>
      </c>
      <c r="G26" s="290" t="s">
        <v>3643</v>
      </c>
      <c r="H26" s="290" t="s">
        <v>437</v>
      </c>
      <c r="I26" s="320">
        <v>54390</v>
      </c>
      <c r="J26" s="320">
        <v>45.8296</v>
      </c>
      <c r="K26" s="321">
        <f t="shared" si="5"/>
        <v>1186.7875783336533</v>
      </c>
      <c r="L26" s="309">
        <v>120</v>
      </c>
      <c r="M26" s="294">
        <f t="shared" si="9"/>
        <v>453.25</v>
      </c>
      <c r="N26" s="295">
        <f ca="1" t="shared" si="7"/>
        <v>68</v>
      </c>
      <c r="O26" s="296">
        <f t="shared" si="10"/>
        <v>23569</v>
      </c>
      <c r="P26" s="292" t="s">
        <v>2002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</row>
    <row r="27" spans="2:47" s="37" customFormat="1" ht="49.5" customHeight="1">
      <c r="B27" s="323">
        <v>42524</v>
      </c>
      <c r="C27" s="292" t="s">
        <v>2360</v>
      </c>
      <c r="D27" s="290" t="s">
        <v>2371</v>
      </c>
      <c r="E27" s="293" t="s">
        <v>2364</v>
      </c>
      <c r="F27" s="290" t="s">
        <v>2372</v>
      </c>
      <c r="G27" s="290" t="s">
        <v>2656</v>
      </c>
      <c r="H27" s="290" t="s">
        <v>437</v>
      </c>
      <c r="I27" s="320">
        <v>54390</v>
      </c>
      <c r="J27" s="320">
        <v>45.8296</v>
      </c>
      <c r="K27" s="321">
        <f t="shared" si="5"/>
        <v>1186.7875783336533</v>
      </c>
      <c r="L27" s="309">
        <v>120</v>
      </c>
      <c r="M27" s="294">
        <f t="shared" si="9"/>
        <v>453.25</v>
      </c>
      <c r="N27" s="295">
        <f ca="1" t="shared" si="7"/>
        <v>68</v>
      </c>
      <c r="O27" s="296">
        <f t="shared" si="10"/>
        <v>23569</v>
      </c>
      <c r="P27" s="292" t="s">
        <v>2002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</row>
    <row r="28" spans="2:47" s="37" customFormat="1" ht="49.5" customHeight="1">
      <c r="B28" s="323">
        <v>42524</v>
      </c>
      <c r="C28" s="292" t="s">
        <v>2360</v>
      </c>
      <c r="D28" s="290" t="s">
        <v>2373</v>
      </c>
      <c r="E28" s="293" t="s">
        <v>2364</v>
      </c>
      <c r="F28" s="290" t="s">
        <v>2374</v>
      </c>
      <c r="G28" s="290" t="s">
        <v>2657</v>
      </c>
      <c r="H28" s="290" t="s">
        <v>437</v>
      </c>
      <c r="I28" s="320">
        <v>54390</v>
      </c>
      <c r="J28" s="320">
        <v>45.8296</v>
      </c>
      <c r="K28" s="321">
        <f t="shared" si="5"/>
        <v>1186.7875783336533</v>
      </c>
      <c r="L28" s="309">
        <v>120</v>
      </c>
      <c r="M28" s="294">
        <f t="shared" si="9"/>
        <v>453.25</v>
      </c>
      <c r="N28" s="295">
        <f ca="1" t="shared" si="7"/>
        <v>68</v>
      </c>
      <c r="O28" s="296">
        <f t="shared" si="10"/>
        <v>23569</v>
      </c>
      <c r="P28" s="292" t="s">
        <v>2002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</row>
    <row r="29" spans="2:47" s="37" customFormat="1" ht="49.5" customHeight="1">
      <c r="B29" s="323">
        <v>42524</v>
      </c>
      <c r="C29" s="292" t="s">
        <v>2360</v>
      </c>
      <c r="D29" s="290" t="s">
        <v>2375</v>
      </c>
      <c r="E29" s="293" t="s">
        <v>2364</v>
      </c>
      <c r="F29" s="290" t="s">
        <v>2376</v>
      </c>
      <c r="G29" s="290" t="s">
        <v>3592</v>
      </c>
      <c r="H29" s="290" t="s">
        <v>437</v>
      </c>
      <c r="I29" s="320">
        <v>54390</v>
      </c>
      <c r="J29" s="320">
        <v>45.8296</v>
      </c>
      <c r="K29" s="321">
        <f t="shared" si="5"/>
        <v>1186.7875783336533</v>
      </c>
      <c r="L29" s="309">
        <v>120</v>
      </c>
      <c r="M29" s="294">
        <f t="shared" si="9"/>
        <v>453.25</v>
      </c>
      <c r="N29" s="295">
        <f ca="1" t="shared" si="7"/>
        <v>68</v>
      </c>
      <c r="O29" s="296">
        <f t="shared" si="10"/>
        <v>23569</v>
      </c>
      <c r="P29" s="292" t="s">
        <v>2002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</row>
    <row r="30" spans="2:47" s="37" customFormat="1" ht="49.5" customHeight="1">
      <c r="B30" s="323">
        <v>42732</v>
      </c>
      <c r="C30" s="292" t="s">
        <v>2377</v>
      </c>
      <c r="D30" s="290" t="s">
        <v>2378</v>
      </c>
      <c r="E30" s="293" t="s">
        <v>2379</v>
      </c>
      <c r="F30" s="290" t="s">
        <v>2380</v>
      </c>
      <c r="G30" s="290" t="s">
        <v>615</v>
      </c>
      <c r="H30" s="290" t="s">
        <v>437</v>
      </c>
      <c r="I30" s="320">
        <v>41693.24</v>
      </c>
      <c r="J30" s="320">
        <v>46.6492</v>
      </c>
      <c r="K30" s="321">
        <f t="shared" si="5"/>
        <v>893.7610934378296</v>
      </c>
      <c r="L30" s="309">
        <v>60</v>
      </c>
      <c r="M30" s="294">
        <f t="shared" si="9"/>
        <v>694.8873333333333</v>
      </c>
      <c r="N30" s="295">
        <f ca="1" t="shared" si="7"/>
        <v>61</v>
      </c>
      <c r="O30" s="296">
        <f t="shared" si="10"/>
        <v>-694.8873333333395</v>
      </c>
      <c r="P30" s="292" t="s">
        <v>2381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</row>
    <row r="31" spans="2:47" s="37" customFormat="1" ht="49.5" customHeight="1">
      <c r="B31" s="323">
        <v>42732</v>
      </c>
      <c r="C31" s="292" t="s">
        <v>2377</v>
      </c>
      <c r="D31" s="290" t="s">
        <v>2382</v>
      </c>
      <c r="E31" s="293" t="s">
        <v>2383</v>
      </c>
      <c r="F31" s="290" t="s">
        <v>2384</v>
      </c>
      <c r="G31" s="290" t="s">
        <v>615</v>
      </c>
      <c r="H31" s="290" t="s">
        <v>437</v>
      </c>
      <c r="I31" s="320">
        <f>3696.75+665.42</f>
        <v>4362.17</v>
      </c>
      <c r="J31" s="320">
        <v>46.6492</v>
      </c>
      <c r="K31" s="321">
        <f t="shared" si="5"/>
        <v>93.51007091225573</v>
      </c>
      <c r="L31" s="309">
        <v>120</v>
      </c>
      <c r="M31" s="294">
        <f t="shared" si="9"/>
        <v>36.351416666666665</v>
      </c>
      <c r="N31" s="295">
        <f ca="1" t="shared" si="7"/>
        <v>61</v>
      </c>
      <c r="O31" s="296">
        <f t="shared" si="10"/>
        <v>2144.7335833333336</v>
      </c>
      <c r="P31" s="292" t="s">
        <v>2381</v>
      </c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</row>
    <row r="32" spans="2:47" s="37" customFormat="1" ht="49.5" customHeight="1">
      <c r="B32" s="323">
        <v>42732</v>
      </c>
      <c r="C32" s="292" t="s">
        <v>2377</v>
      </c>
      <c r="D32" s="290" t="s">
        <v>2385</v>
      </c>
      <c r="E32" s="293" t="s">
        <v>2386</v>
      </c>
      <c r="F32" s="290" t="s">
        <v>2387</v>
      </c>
      <c r="G32" s="290" t="s">
        <v>615</v>
      </c>
      <c r="H32" s="290" t="s">
        <v>437</v>
      </c>
      <c r="I32" s="320">
        <f>10998.85/3</f>
        <v>3666.2833333333333</v>
      </c>
      <c r="J32" s="320">
        <v>46.6492</v>
      </c>
      <c r="K32" s="321">
        <f t="shared" si="5"/>
        <v>78.59263038451535</v>
      </c>
      <c r="L32" s="309">
        <v>120</v>
      </c>
      <c r="M32" s="294">
        <f t="shared" si="9"/>
        <v>30.55236111111111</v>
      </c>
      <c r="N32" s="295">
        <f ca="1" t="shared" si="7"/>
        <v>61</v>
      </c>
      <c r="O32" s="296">
        <f t="shared" si="10"/>
        <v>1802.5893055555555</v>
      </c>
      <c r="P32" s="292" t="s">
        <v>2381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</row>
    <row r="33" spans="2:47" s="37" customFormat="1" ht="49.5" customHeight="1">
      <c r="B33" s="323">
        <v>42732</v>
      </c>
      <c r="C33" s="292" t="s">
        <v>2377</v>
      </c>
      <c r="D33" s="290" t="s">
        <v>2388</v>
      </c>
      <c r="E33" s="293" t="s">
        <v>2386</v>
      </c>
      <c r="F33" s="290" t="s">
        <v>2389</v>
      </c>
      <c r="G33" s="290" t="s">
        <v>553</v>
      </c>
      <c r="H33" s="290" t="s">
        <v>437</v>
      </c>
      <c r="I33" s="320">
        <f>10998.85/3</f>
        <v>3666.2833333333333</v>
      </c>
      <c r="J33" s="320">
        <v>46.6492</v>
      </c>
      <c r="K33" s="321">
        <f t="shared" si="5"/>
        <v>78.59263038451535</v>
      </c>
      <c r="L33" s="309">
        <v>120</v>
      </c>
      <c r="M33" s="294">
        <f t="shared" si="9"/>
        <v>30.55236111111111</v>
      </c>
      <c r="N33" s="295">
        <f ca="1" t="shared" si="7"/>
        <v>61</v>
      </c>
      <c r="O33" s="296">
        <f t="shared" si="10"/>
        <v>1802.5893055555555</v>
      </c>
      <c r="P33" s="292" t="s">
        <v>2381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</row>
    <row r="34" spans="2:47" s="37" customFormat="1" ht="49.5" customHeight="1">
      <c r="B34" s="323">
        <v>42732</v>
      </c>
      <c r="C34" s="292" t="s">
        <v>2377</v>
      </c>
      <c r="D34" s="290" t="s">
        <v>2390</v>
      </c>
      <c r="E34" s="293" t="s">
        <v>2386</v>
      </c>
      <c r="F34" s="290" t="s">
        <v>2391</v>
      </c>
      <c r="G34" s="290" t="s">
        <v>1833</v>
      </c>
      <c r="H34" s="290" t="s">
        <v>437</v>
      </c>
      <c r="I34" s="320">
        <f>10998.85/3</f>
        <v>3666.2833333333333</v>
      </c>
      <c r="J34" s="320">
        <v>46.6492</v>
      </c>
      <c r="K34" s="321">
        <f t="shared" si="5"/>
        <v>78.59263038451535</v>
      </c>
      <c r="L34" s="309">
        <v>120</v>
      </c>
      <c r="M34" s="294">
        <f t="shared" si="9"/>
        <v>30.55236111111111</v>
      </c>
      <c r="N34" s="295">
        <f ca="1" t="shared" si="7"/>
        <v>61</v>
      </c>
      <c r="O34" s="296">
        <f t="shared" si="10"/>
        <v>1802.5893055555555</v>
      </c>
      <c r="P34" s="292" t="s">
        <v>2381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</row>
    <row r="35" spans="2:47" s="37" customFormat="1" ht="49.5" customHeight="1">
      <c r="B35" s="323">
        <v>42809</v>
      </c>
      <c r="C35" s="292" t="s">
        <v>2392</v>
      </c>
      <c r="D35" s="290" t="s">
        <v>2869</v>
      </c>
      <c r="E35" s="293" t="s">
        <v>2393</v>
      </c>
      <c r="F35" s="290" t="s">
        <v>2394</v>
      </c>
      <c r="G35" s="290" t="s">
        <v>2658</v>
      </c>
      <c r="H35" s="290" t="s">
        <v>437</v>
      </c>
      <c r="I35" s="320">
        <v>42523.65</v>
      </c>
      <c r="J35" s="320">
        <v>47.2017</v>
      </c>
      <c r="K35" s="321">
        <f t="shared" si="5"/>
        <v>900.8923407419647</v>
      </c>
      <c r="L35" s="309">
        <v>60</v>
      </c>
      <c r="M35" s="294">
        <f t="shared" si="9"/>
        <v>708.7275000000001</v>
      </c>
      <c r="N35" s="295">
        <f ca="1" t="shared" si="7"/>
        <v>59</v>
      </c>
      <c r="O35" s="296">
        <f>IF(OR(I35=0,L35=0,N35=0),0,I35-(M35*N35))</f>
        <v>708.7274999999936</v>
      </c>
      <c r="P35" s="292" t="s">
        <v>1999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</row>
    <row r="36" spans="2:47" s="37" customFormat="1" ht="49.5" customHeight="1">
      <c r="B36" s="323">
        <v>42824</v>
      </c>
      <c r="C36" s="292" t="s">
        <v>2395</v>
      </c>
      <c r="D36" s="290" t="s">
        <v>2868</v>
      </c>
      <c r="E36" s="293" t="s">
        <v>2396</v>
      </c>
      <c r="F36" s="290" t="s">
        <v>42</v>
      </c>
      <c r="G36" s="290" t="s">
        <v>81</v>
      </c>
      <c r="H36" s="290" t="s">
        <v>437</v>
      </c>
      <c r="I36" s="320">
        <f>14183.22+2552.98</f>
        <v>16736.2</v>
      </c>
      <c r="J36" s="320">
        <v>47.2634</v>
      </c>
      <c r="K36" s="321">
        <f t="shared" si="5"/>
        <v>354.1048676142639</v>
      </c>
      <c r="L36" s="309">
        <v>60</v>
      </c>
      <c r="M36" s="294">
        <f t="shared" si="9"/>
        <v>278.93666666666667</v>
      </c>
      <c r="N36" s="295">
        <f ca="1" t="shared" si="7"/>
        <v>58</v>
      </c>
      <c r="O36" s="296">
        <f>IF(OR(I36=0,L36=0,N36=0),0,I36-(M36*N36))</f>
        <v>557.8733333333348</v>
      </c>
      <c r="P36" s="292" t="s">
        <v>1999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</row>
    <row r="37" spans="2:47" s="37" customFormat="1" ht="49.5" customHeight="1">
      <c r="B37" s="323">
        <v>42824</v>
      </c>
      <c r="C37" s="292" t="s">
        <v>2395</v>
      </c>
      <c r="D37" s="290" t="s">
        <v>2867</v>
      </c>
      <c r="E37" s="293" t="s">
        <v>2397</v>
      </c>
      <c r="F37" s="290" t="s">
        <v>42</v>
      </c>
      <c r="G37" s="290" t="s">
        <v>81</v>
      </c>
      <c r="H37" s="290" t="s">
        <v>437</v>
      </c>
      <c r="I37" s="320">
        <f>2426.09+436.7</f>
        <v>2862.79</v>
      </c>
      <c r="J37" s="320">
        <v>47.2634</v>
      </c>
      <c r="K37" s="321">
        <f t="shared" si="5"/>
        <v>60.57097034914966</v>
      </c>
      <c r="L37" s="309">
        <v>60</v>
      </c>
      <c r="M37" s="294">
        <f t="shared" si="9"/>
        <v>47.713166666666666</v>
      </c>
      <c r="N37" s="295">
        <f ca="1" t="shared" si="7"/>
        <v>58</v>
      </c>
      <c r="O37" s="296">
        <f>IF(OR(I37=0,L37=0,N37=0),0,I37-(M37*N37))</f>
        <v>95.42633333333333</v>
      </c>
      <c r="P37" s="292" t="s">
        <v>1999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</row>
    <row r="38" spans="2:47" s="37" customFormat="1" ht="49.5" customHeight="1">
      <c r="B38" s="323">
        <v>42824</v>
      </c>
      <c r="C38" s="292" t="s">
        <v>2395</v>
      </c>
      <c r="D38" s="290" t="s">
        <v>2866</v>
      </c>
      <c r="E38" s="293" t="s">
        <v>2398</v>
      </c>
      <c r="F38" s="290" t="s">
        <v>2399</v>
      </c>
      <c r="G38" s="290" t="s">
        <v>3481</v>
      </c>
      <c r="H38" s="290" t="s">
        <v>437</v>
      </c>
      <c r="I38" s="320">
        <f>7120.74+1281.73</f>
        <v>8402.47</v>
      </c>
      <c r="J38" s="320">
        <v>47.2634</v>
      </c>
      <c r="K38" s="321">
        <f t="shared" si="5"/>
        <v>177.77963498182527</v>
      </c>
      <c r="L38" s="309">
        <v>60</v>
      </c>
      <c r="M38" s="294">
        <f t="shared" si="9"/>
        <v>140.04116666666667</v>
      </c>
      <c r="N38" s="295">
        <f ca="1" t="shared" si="7"/>
        <v>58</v>
      </c>
      <c r="O38" s="296">
        <f>IF(OR(I38=0,L38=0,N38=0),0,I38-(M38*N38))</f>
        <v>280.0823333333328</v>
      </c>
      <c r="P38" s="292" t="s">
        <v>1999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</row>
    <row r="39" spans="2:47" s="37" customFormat="1" ht="5.25" customHeight="1">
      <c r="B39" s="52"/>
      <c r="C39" s="53"/>
      <c r="D39" s="53"/>
      <c r="E39" s="53"/>
      <c r="F39" s="54"/>
      <c r="G39" s="54"/>
      <c r="H39" s="54"/>
      <c r="I39" s="55"/>
      <c r="J39" s="55"/>
      <c r="K39" s="55"/>
      <c r="L39" s="53"/>
      <c r="M39" s="56"/>
      <c r="N39" s="56"/>
      <c r="O39" s="56"/>
      <c r="P39" s="53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</row>
    <row r="40" spans="2:24" s="37" customFormat="1" ht="15.75" customHeight="1" thickBot="1">
      <c r="B40" s="57"/>
      <c r="C40" s="58"/>
      <c r="D40" s="678" t="s">
        <v>335</v>
      </c>
      <c r="E40" s="678"/>
      <c r="F40" s="678"/>
      <c r="G40" s="678"/>
      <c r="H40" s="441"/>
      <c r="I40" s="447">
        <f>SUBTOTAL(9,I6:I38)</f>
        <v>984598.1</v>
      </c>
      <c r="J40" s="443"/>
      <c r="K40" s="447">
        <f>SUBTOTAL(9,K6:K38)</f>
        <v>21453.331740293605</v>
      </c>
      <c r="L40" s="444"/>
      <c r="M40" s="445"/>
      <c r="N40" s="446"/>
      <c r="O40" s="447">
        <f>SUBTOTAL(9,O6:O38)</f>
        <v>223409.4860163802</v>
      </c>
      <c r="P40" s="59"/>
      <c r="T40" s="39"/>
      <c r="U40" s="39"/>
      <c r="V40" s="39"/>
      <c r="W40" s="39"/>
      <c r="X40" s="39"/>
    </row>
    <row r="41" spans="2:24" s="37" customFormat="1" ht="6.75" customHeight="1" thickTop="1">
      <c r="B41" s="60"/>
      <c r="C41" s="61"/>
      <c r="D41" s="61"/>
      <c r="E41" s="62"/>
      <c r="F41" s="61"/>
      <c r="G41" s="63"/>
      <c r="H41" s="63"/>
      <c r="I41" s="64"/>
      <c r="J41" s="39"/>
      <c r="K41" s="65"/>
      <c r="L41" s="66"/>
      <c r="M41" s="67"/>
      <c r="N41" s="68"/>
      <c r="O41" s="65"/>
      <c r="P41" s="69"/>
      <c r="T41" s="39"/>
      <c r="U41" s="39"/>
      <c r="V41" s="39"/>
      <c r="W41" s="39"/>
      <c r="X41" s="39"/>
    </row>
    <row r="42" spans="2:24" s="37" customFormat="1" ht="6.75" customHeight="1">
      <c r="B42" s="60"/>
      <c r="C42" s="61"/>
      <c r="D42" s="61"/>
      <c r="E42" s="62"/>
      <c r="F42" s="63"/>
      <c r="G42" s="63"/>
      <c r="H42" s="63"/>
      <c r="I42" s="64"/>
      <c r="J42" s="39"/>
      <c r="K42" s="65"/>
      <c r="L42" s="66"/>
      <c r="M42" s="67"/>
      <c r="N42" s="68"/>
      <c r="O42" s="65"/>
      <c r="P42" s="69"/>
      <c r="T42" s="39"/>
      <c r="U42" s="39"/>
      <c r="V42" s="39"/>
      <c r="W42" s="39"/>
      <c r="X42" s="39"/>
    </row>
    <row r="43" spans="2:24" s="37" customFormat="1" ht="17.25" customHeight="1">
      <c r="B43" s="60"/>
      <c r="C43" s="61"/>
      <c r="D43" s="61"/>
      <c r="E43" s="62"/>
      <c r="F43" s="63"/>
      <c r="G43" s="63"/>
      <c r="H43" s="63"/>
      <c r="I43" s="64"/>
      <c r="J43" s="39"/>
      <c r="K43" s="65"/>
      <c r="L43" s="66"/>
      <c r="M43" s="67"/>
      <c r="N43" s="68"/>
      <c r="O43" s="65"/>
      <c r="P43" s="69"/>
      <c r="T43" s="39"/>
      <c r="U43" s="39"/>
      <c r="V43" s="39"/>
      <c r="W43" s="39"/>
      <c r="X43" s="39"/>
    </row>
    <row r="44" spans="2:24" s="37" customFormat="1" ht="17.25" customHeight="1" thickBot="1">
      <c r="B44" s="60"/>
      <c r="C44" s="61"/>
      <c r="D44" s="61"/>
      <c r="E44" s="62"/>
      <c r="F44" s="63"/>
      <c r="G44" s="63"/>
      <c r="H44" s="63"/>
      <c r="I44" s="64"/>
      <c r="J44" s="39"/>
      <c r="K44" s="65"/>
      <c r="L44" s="66"/>
      <c r="M44" s="67"/>
      <c r="N44" s="68"/>
      <c r="O44" s="65"/>
      <c r="P44" s="69"/>
      <c r="T44" s="39"/>
      <c r="U44" s="39"/>
      <c r="V44" s="39"/>
      <c r="W44" s="39"/>
      <c r="X44" s="39"/>
    </row>
    <row r="45" spans="2:24" s="37" customFormat="1" ht="17.25" customHeight="1">
      <c r="B45" s="60"/>
      <c r="C45" s="70"/>
      <c r="D45" s="70"/>
      <c r="E45" s="62"/>
      <c r="F45" s="688" t="s">
        <v>39</v>
      </c>
      <c r="G45" s="689"/>
      <c r="H45" s="690"/>
      <c r="I45" s="73" t="s">
        <v>336</v>
      </c>
      <c r="J45" s="28" t="s">
        <v>816</v>
      </c>
      <c r="K45" s="65"/>
      <c r="L45" s="69"/>
      <c r="P45" s="273"/>
      <c r="T45" s="39"/>
      <c r="U45" s="39"/>
      <c r="V45" s="39"/>
      <c r="W45" s="39"/>
      <c r="X45" s="39"/>
    </row>
    <row r="46" spans="2:24" s="37" customFormat="1" ht="26.25" thickBot="1">
      <c r="B46" s="60"/>
      <c r="C46" s="70"/>
      <c r="D46" s="70"/>
      <c r="E46" s="62"/>
      <c r="F46" s="396"/>
      <c r="G46" s="397" t="s">
        <v>40</v>
      </c>
      <c r="H46" s="398" t="s">
        <v>41</v>
      </c>
      <c r="I46" s="73" t="s">
        <v>3507</v>
      </c>
      <c r="J46" s="74" t="s">
        <v>532</v>
      </c>
      <c r="K46" s="65"/>
      <c r="L46" s="62"/>
      <c r="M46" s="39"/>
      <c r="P46" s="273"/>
      <c r="T46" s="39"/>
      <c r="U46" s="39"/>
      <c r="V46" s="39"/>
      <c r="W46" s="39"/>
      <c r="X46" s="39"/>
    </row>
    <row r="47" spans="2:24" s="37" customFormat="1" ht="19.5" customHeight="1">
      <c r="B47" s="60"/>
      <c r="C47" s="64"/>
      <c r="D47" s="64"/>
      <c r="E47" s="77"/>
      <c r="F47" s="405" t="s">
        <v>732</v>
      </c>
      <c r="G47" s="406">
        <f>SUM(I6:I18)</f>
        <v>104974.92000000001</v>
      </c>
      <c r="H47" s="406">
        <f>SUM(K6:K18)</f>
        <v>2313.2419568091673</v>
      </c>
      <c r="I47" s="78"/>
      <c r="J47" s="79"/>
      <c r="K47" s="78"/>
      <c r="L47" s="79"/>
      <c r="M47" s="27"/>
      <c r="N47" s="28"/>
      <c r="O47" s="65"/>
      <c r="P47" s="69"/>
      <c r="T47" s="39"/>
      <c r="U47" s="39"/>
      <c r="V47" s="39"/>
      <c r="W47" s="39"/>
      <c r="X47" s="39"/>
    </row>
    <row r="48" spans="2:24" s="37" customFormat="1" ht="19.5" customHeight="1">
      <c r="B48" s="60"/>
      <c r="C48" s="64"/>
      <c r="D48" s="64"/>
      <c r="E48" s="77"/>
      <c r="F48" s="405" t="s">
        <v>745</v>
      </c>
      <c r="G48" s="407">
        <f>SUM(I19:I34)</f>
        <v>809098.0700000001</v>
      </c>
      <c r="H48" s="407">
        <f>SUM(K19:K34)</f>
        <v>17646.741969797236</v>
      </c>
      <c r="I48" s="78"/>
      <c r="J48" s="79"/>
      <c r="K48" s="78"/>
      <c r="L48" s="79"/>
      <c r="M48" s="67"/>
      <c r="N48" s="68"/>
      <c r="O48" s="65"/>
      <c r="P48" s="69"/>
      <c r="T48" s="39"/>
      <c r="U48" s="39"/>
      <c r="V48" s="39"/>
      <c r="W48" s="39"/>
      <c r="X48" s="39"/>
    </row>
    <row r="49" spans="2:24" s="37" customFormat="1" ht="19.5" customHeight="1">
      <c r="B49" s="60"/>
      <c r="C49" s="64"/>
      <c r="D49" s="64"/>
      <c r="E49" s="77"/>
      <c r="F49" s="405" t="s">
        <v>797</v>
      </c>
      <c r="G49" s="407">
        <f>SUM(I35:I38)</f>
        <v>70525.11</v>
      </c>
      <c r="H49" s="407">
        <f>SUM(K35:K38)</f>
        <v>1493.3478136872034</v>
      </c>
      <c r="I49" s="265" t="s">
        <v>3718</v>
      </c>
      <c r="J49" s="270"/>
      <c r="K49" s="268"/>
      <c r="L49" s="268"/>
      <c r="M49" s="268"/>
      <c r="N49" s="269"/>
      <c r="O49" s="271"/>
      <c r="P49" s="272"/>
      <c r="T49" s="39"/>
      <c r="U49" s="39"/>
      <c r="V49" s="39"/>
      <c r="W49" s="39"/>
      <c r="X49" s="39"/>
    </row>
    <row r="50" spans="2:24" s="37" customFormat="1" ht="19.5" customHeight="1">
      <c r="B50" s="60"/>
      <c r="C50" s="64"/>
      <c r="D50" s="64"/>
      <c r="E50" s="77"/>
      <c r="F50" s="405" t="s">
        <v>818</v>
      </c>
      <c r="G50" s="408">
        <v>0</v>
      </c>
      <c r="H50" s="407">
        <v>0</v>
      </c>
      <c r="I50" s="36"/>
      <c r="J50" s="78"/>
      <c r="K50" s="79"/>
      <c r="L50" s="79"/>
      <c r="M50" s="79"/>
      <c r="N50" s="65"/>
      <c r="O50" s="62"/>
      <c r="P50" s="273"/>
      <c r="T50" s="39"/>
      <c r="U50" s="39"/>
      <c r="V50" s="39"/>
      <c r="W50" s="39"/>
      <c r="X50" s="39"/>
    </row>
    <row r="51" spans="2:24" s="37" customFormat="1" ht="19.5" customHeight="1">
      <c r="B51" s="60"/>
      <c r="C51" s="64"/>
      <c r="D51" s="64"/>
      <c r="E51" s="77"/>
      <c r="F51" s="405" t="s">
        <v>2700</v>
      </c>
      <c r="G51" s="408">
        <v>0</v>
      </c>
      <c r="H51" s="407">
        <v>0</v>
      </c>
      <c r="I51" s="265" t="s">
        <v>3576</v>
      </c>
      <c r="J51" s="267"/>
      <c r="K51" s="268"/>
      <c r="L51" s="268"/>
      <c r="M51" s="268"/>
      <c r="N51" s="269"/>
      <c r="O51" s="271"/>
      <c r="P51" s="273"/>
      <c r="T51" s="39"/>
      <c r="U51" s="39"/>
      <c r="V51" s="39"/>
      <c r="W51" s="39"/>
      <c r="X51" s="39"/>
    </row>
    <row r="52" spans="2:24" s="37" customFormat="1" ht="19.5" customHeight="1">
      <c r="B52" s="60"/>
      <c r="C52" s="64"/>
      <c r="D52" s="64"/>
      <c r="E52" s="77"/>
      <c r="F52" s="405" t="s">
        <v>3307</v>
      </c>
      <c r="G52" s="409">
        <v>0</v>
      </c>
      <c r="H52" s="410">
        <v>0</v>
      </c>
      <c r="I52" s="39"/>
      <c r="J52" s="39"/>
      <c r="K52" s="39"/>
      <c r="L52" s="39"/>
      <c r="M52" s="39"/>
      <c r="N52" s="39"/>
      <c r="O52" s="62"/>
      <c r="P52" s="273"/>
      <c r="T52" s="39"/>
      <c r="U52" s="39"/>
      <c r="V52" s="39"/>
      <c r="W52" s="39"/>
      <c r="X52" s="39"/>
    </row>
    <row r="53" spans="2:24" s="37" customFormat="1" ht="19.5" customHeight="1" thickBot="1">
      <c r="B53" s="60"/>
      <c r="C53" s="64"/>
      <c r="D53" s="64"/>
      <c r="E53" s="77"/>
      <c r="F53" s="405" t="s">
        <v>3573</v>
      </c>
      <c r="G53" s="411" t="s">
        <v>374</v>
      </c>
      <c r="H53" s="412" t="s">
        <v>374</v>
      </c>
      <c r="I53" s="39"/>
      <c r="J53" s="39"/>
      <c r="K53" s="39"/>
      <c r="L53" s="39"/>
      <c r="M53" s="39"/>
      <c r="N53" s="39"/>
      <c r="O53" s="62"/>
      <c r="P53" s="273"/>
      <c r="T53" s="39"/>
      <c r="U53" s="39"/>
      <c r="V53" s="39"/>
      <c r="W53" s="39"/>
      <c r="X53" s="39"/>
    </row>
    <row r="54" spans="2:24" s="37" customFormat="1" ht="18.75" customHeight="1" thickBot="1">
      <c r="B54" s="60"/>
      <c r="C54" s="70"/>
      <c r="D54" s="70"/>
      <c r="E54" s="62"/>
      <c r="F54" s="413" t="s">
        <v>345</v>
      </c>
      <c r="G54" s="414">
        <f>SUM(G47:G52)</f>
        <v>984598.1000000001</v>
      </c>
      <c r="H54" s="415">
        <f>SUM(H47:H52)</f>
        <v>21453.331740293608</v>
      </c>
      <c r="I54" s="36" t="s">
        <v>3748</v>
      </c>
      <c r="J54" s="16"/>
      <c r="K54" s="39"/>
      <c r="L54" s="39"/>
      <c r="M54" s="39"/>
      <c r="N54" s="39"/>
      <c r="O54" s="69"/>
      <c r="P54" s="273"/>
      <c r="T54" s="39"/>
      <c r="U54" s="39"/>
      <c r="V54" s="39"/>
      <c r="W54" s="39"/>
      <c r="X54" s="39"/>
    </row>
    <row r="55" spans="2:24" s="37" customFormat="1" ht="12.75">
      <c r="B55" s="60"/>
      <c r="C55" s="70"/>
      <c r="D55" s="70"/>
      <c r="E55" s="62"/>
      <c r="F55" s="82"/>
      <c r="G55" s="83"/>
      <c r="H55" s="83"/>
      <c r="I55" s="16"/>
      <c r="J55" s="265" t="s">
        <v>3268</v>
      </c>
      <c r="K55" s="266"/>
      <c r="L55" s="266"/>
      <c r="M55" s="266"/>
      <c r="N55" s="266"/>
      <c r="O55" s="62"/>
      <c r="P55" s="273"/>
      <c r="T55" s="39"/>
      <c r="U55" s="39"/>
      <c r="V55" s="39"/>
      <c r="W55" s="39"/>
      <c r="X55" s="39"/>
    </row>
    <row r="56" spans="2:24" s="37" customFormat="1" ht="12.75">
      <c r="B56" s="60"/>
      <c r="C56" s="70"/>
      <c r="D56" s="70"/>
      <c r="E56" s="62"/>
      <c r="F56" s="82"/>
      <c r="G56" s="83"/>
      <c r="H56" s="83"/>
      <c r="K56" s="39"/>
      <c r="L56" s="39"/>
      <c r="M56" s="39"/>
      <c r="N56" s="39"/>
      <c r="O56" s="62"/>
      <c r="P56" s="273"/>
      <c r="T56" s="39"/>
      <c r="U56" s="39"/>
      <c r="V56" s="39"/>
      <c r="W56" s="39"/>
      <c r="X56" s="39"/>
    </row>
    <row r="57" spans="2:24" s="37" customFormat="1" ht="15">
      <c r="B57" s="60"/>
      <c r="C57" s="70"/>
      <c r="D57" s="70"/>
      <c r="E57" s="62"/>
      <c r="F57" s="82"/>
      <c r="G57" s="83"/>
      <c r="H57" s="83"/>
      <c r="I57" s="36"/>
      <c r="J57" s="90"/>
      <c r="K57" s="39"/>
      <c r="L57" s="39"/>
      <c r="M57" s="39"/>
      <c r="N57" s="39"/>
      <c r="O57" s="62"/>
      <c r="P57" s="273"/>
      <c r="T57" s="39"/>
      <c r="U57" s="39"/>
      <c r="V57" s="39"/>
      <c r="W57" s="39"/>
      <c r="X57" s="39"/>
    </row>
    <row r="58" spans="2:24" s="37" customFormat="1" ht="15">
      <c r="B58" s="84"/>
      <c r="C58" s="85"/>
      <c r="D58" s="85"/>
      <c r="E58" s="86"/>
      <c r="F58" s="87"/>
      <c r="G58" s="88"/>
      <c r="H58" s="89"/>
      <c r="I58" s="39"/>
      <c r="J58" s="39"/>
      <c r="K58" s="39"/>
      <c r="L58" s="39"/>
      <c r="M58" s="39"/>
      <c r="N58" s="39"/>
      <c r="O58" s="62"/>
      <c r="P58" s="273"/>
      <c r="T58" s="39"/>
      <c r="U58" s="39"/>
      <c r="V58" s="39"/>
      <c r="W58" s="39"/>
      <c r="X58" s="39"/>
    </row>
    <row r="59" spans="2:24" s="37" customFormat="1" ht="9" customHeight="1">
      <c r="B59" s="60"/>
      <c r="C59" s="86"/>
      <c r="D59" s="86"/>
      <c r="E59" s="86"/>
      <c r="F59" s="82"/>
      <c r="G59" s="83"/>
      <c r="H59" s="83"/>
      <c r="I59" s="39"/>
      <c r="J59" s="39"/>
      <c r="K59" s="39"/>
      <c r="L59" s="39"/>
      <c r="M59" s="39"/>
      <c r="N59" s="39"/>
      <c r="O59" s="62"/>
      <c r="P59" s="273"/>
      <c r="T59" s="39"/>
      <c r="U59" s="39"/>
      <c r="V59" s="39"/>
      <c r="W59" s="39"/>
      <c r="X59" s="39"/>
    </row>
    <row r="60" spans="2:24" s="37" customFormat="1" ht="12.75">
      <c r="B60" s="92"/>
      <c r="C60" s="93"/>
      <c r="D60" s="93"/>
      <c r="E60" s="130"/>
      <c r="F60" s="94"/>
      <c r="G60" s="95"/>
      <c r="H60" s="95"/>
      <c r="I60" s="96"/>
      <c r="P60" s="274"/>
      <c r="T60" s="39"/>
      <c r="U60" s="39"/>
      <c r="V60" s="39"/>
      <c r="W60" s="39"/>
      <c r="X60" s="39"/>
    </row>
    <row r="61" spans="2:24" s="37" customFormat="1" ht="5.25" customHeight="1">
      <c r="B61" s="99"/>
      <c r="C61" s="100"/>
      <c r="D61" s="100"/>
      <c r="E61" s="101"/>
      <c r="F61" s="102"/>
      <c r="G61" s="103"/>
      <c r="H61" s="103"/>
      <c r="I61" s="104"/>
      <c r="J61" s="105"/>
      <c r="K61" s="105"/>
      <c r="L61" s="105"/>
      <c r="M61" s="105"/>
      <c r="N61" s="105"/>
      <c r="O61" s="105"/>
      <c r="P61" s="106"/>
      <c r="T61" s="39"/>
      <c r="U61" s="39"/>
      <c r="V61" s="39"/>
      <c r="W61" s="39"/>
      <c r="X61" s="39"/>
    </row>
    <row r="62" spans="2:24" s="112" customFormat="1" ht="34.5" customHeight="1">
      <c r="B62" s="505" t="s">
        <v>334</v>
      </c>
      <c r="C62" s="107"/>
      <c r="D62" s="107"/>
      <c r="E62" s="108"/>
      <c r="F62" s="109"/>
      <c r="G62" s="684" t="s">
        <v>511</v>
      </c>
      <c r="H62" s="684"/>
      <c r="I62" s="110"/>
      <c r="J62" s="684" t="s">
        <v>65</v>
      </c>
      <c r="K62" s="684"/>
      <c r="L62" s="684"/>
      <c r="M62" s="684"/>
      <c r="N62" s="111"/>
      <c r="O62" s="684" t="s">
        <v>65</v>
      </c>
      <c r="P62" s="685"/>
      <c r="T62" s="113"/>
      <c r="U62" s="113"/>
      <c r="V62" s="113"/>
      <c r="W62" s="113"/>
      <c r="X62" s="113"/>
    </row>
    <row r="63" spans="2:24" s="37" customFormat="1" ht="12.75">
      <c r="B63" s="60"/>
      <c r="C63" s="70"/>
      <c r="D63" s="70"/>
      <c r="E63" s="77"/>
      <c r="F63" s="114"/>
      <c r="G63" s="83"/>
      <c r="H63" s="83"/>
      <c r="I63" s="80"/>
      <c r="J63" s="39"/>
      <c r="K63" s="39"/>
      <c r="L63" s="39"/>
      <c r="M63" s="83"/>
      <c r="N63" s="39"/>
      <c r="O63" s="39"/>
      <c r="P63" s="69"/>
      <c r="T63" s="39"/>
      <c r="U63" s="39"/>
      <c r="V63" s="39"/>
      <c r="W63" s="39"/>
      <c r="X63" s="39"/>
    </row>
    <row r="64" spans="2:24" s="37" customFormat="1" ht="14.25">
      <c r="B64" s="60"/>
      <c r="C64" s="70"/>
      <c r="D64" s="70"/>
      <c r="E64" s="115"/>
      <c r="F64" s="91"/>
      <c r="G64" s="83"/>
      <c r="H64" s="83"/>
      <c r="I64" s="80"/>
      <c r="J64" s="39"/>
      <c r="K64" s="39"/>
      <c r="L64" s="39"/>
      <c r="M64" s="83"/>
      <c r="N64" s="39"/>
      <c r="O64" s="39"/>
      <c r="P64" s="69"/>
      <c r="T64" s="39"/>
      <c r="U64" s="39"/>
      <c r="V64" s="39"/>
      <c r="W64" s="39"/>
      <c r="X64" s="39"/>
    </row>
    <row r="65" spans="2:24" s="37" customFormat="1" ht="12.75">
      <c r="B65" s="500"/>
      <c r="C65" s="512" t="s">
        <v>3745</v>
      </c>
      <c r="D65" s="512"/>
      <c r="E65" s="62"/>
      <c r="F65" s="117"/>
      <c r="G65" s="95"/>
      <c r="H65" s="95"/>
      <c r="I65" s="80"/>
      <c r="J65" s="97"/>
      <c r="K65" s="97"/>
      <c r="L65" s="97"/>
      <c r="M65" s="95"/>
      <c r="N65" s="39"/>
      <c r="O65" s="97"/>
      <c r="P65" s="98"/>
      <c r="T65" s="39"/>
      <c r="U65" s="39"/>
      <c r="V65" s="39"/>
      <c r="W65" s="39"/>
      <c r="X65" s="39"/>
    </row>
    <row r="66" spans="2:24" s="119" customFormat="1" ht="15">
      <c r="B66" s="508" t="s">
        <v>3738</v>
      </c>
      <c r="C66" s="118"/>
      <c r="D66" s="118"/>
      <c r="E66" s="118"/>
      <c r="F66" s="118"/>
      <c r="G66" s="686" t="s">
        <v>639</v>
      </c>
      <c r="H66" s="686"/>
      <c r="J66" s="686" t="s">
        <v>3501</v>
      </c>
      <c r="K66" s="686"/>
      <c r="L66" s="686"/>
      <c r="M66" s="686"/>
      <c r="N66" s="118"/>
      <c r="O66" s="686" t="s">
        <v>2610</v>
      </c>
      <c r="P66" s="687"/>
      <c r="T66" s="120"/>
      <c r="U66" s="120"/>
      <c r="V66" s="120"/>
      <c r="W66" s="120"/>
      <c r="X66" s="120"/>
    </row>
    <row r="67" spans="2:24" s="37" customFormat="1" ht="14.25">
      <c r="B67" s="509" t="s">
        <v>3508</v>
      </c>
      <c r="C67" s="335"/>
      <c r="D67" s="335"/>
      <c r="E67" s="121"/>
      <c r="F67" s="121"/>
      <c r="G67" s="679" t="s">
        <v>640</v>
      </c>
      <c r="H67" s="679"/>
      <c r="I67" s="281"/>
      <c r="J67" s="679" t="s">
        <v>3511</v>
      </c>
      <c r="K67" s="679"/>
      <c r="L67" s="679"/>
      <c r="M67" s="679"/>
      <c r="N67" s="467"/>
      <c r="O67" s="679" t="s">
        <v>510</v>
      </c>
      <c r="P67" s="680"/>
      <c r="T67" s="39"/>
      <c r="U67" s="39"/>
      <c r="V67" s="39"/>
      <c r="W67" s="39"/>
      <c r="X67" s="39"/>
    </row>
    <row r="68" spans="2:24" s="37" customFormat="1" ht="12.75">
      <c r="B68" s="511" t="s">
        <v>3736</v>
      </c>
      <c r="C68" s="93"/>
      <c r="D68" s="93"/>
      <c r="E68" s="116"/>
      <c r="F68" s="94"/>
      <c r="G68" s="95"/>
      <c r="H68" s="95"/>
      <c r="I68" s="96"/>
      <c r="J68" s="278"/>
      <c r="K68" s="278"/>
      <c r="L68" s="278"/>
      <c r="M68" s="278"/>
      <c r="N68" s="278"/>
      <c r="O68" s="278"/>
      <c r="P68" s="279"/>
      <c r="T68" s="39"/>
      <c r="U68" s="39"/>
      <c r="V68" s="39"/>
      <c r="W68" s="39"/>
      <c r="X68" s="39"/>
    </row>
    <row r="70" ht="12.75">
      <c r="G70" s="124"/>
    </row>
    <row r="72" spans="7:8" ht="12.75">
      <c r="G72" s="126"/>
      <c r="H72" s="127"/>
    </row>
    <row r="73" ht="12.75">
      <c r="H73" s="127"/>
    </row>
    <row r="74" spans="8:9" ht="12.75">
      <c r="H74" s="127"/>
      <c r="I74" s="128"/>
    </row>
    <row r="75" ht="12.75">
      <c r="H75" s="127"/>
    </row>
    <row r="76" spans="5:8" ht="12.75">
      <c r="E76" s="129"/>
      <c r="H76" s="127"/>
    </row>
    <row r="77" ht="12.75">
      <c r="H77" s="127"/>
    </row>
    <row r="78" ht="12.75">
      <c r="H78" s="127"/>
    </row>
    <row r="79" ht="12.75">
      <c r="H79" s="127"/>
    </row>
    <row r="80" ht="12.75">
      <c r="H80" s="127"/>
    </row>
  </sheetData>
  <sheetProtection/>
  <mergeCells count="11">
    <mergeCell ref="O62:P62"/>
    <mergeCell ref="G66:H66"/>
    <mergeCell ref="J66:M66"/>
    <mergeCell ref="O66:P66"/>
    <mergeCell ref="D40:G40"/>
    <mergeCell ref="G67:H67"/>
    <mergeCell ref="J67:M67"/>
    <mergeCell ref="O67:P67"/>
    <mergeCell ref="F45:H45"/>
    <mergeCell ref="G62:H62"/>
    <mergeCell ref="J62:M62"/>
  </mergeCells>
  <printOptions horizontalCentered="1" verticalCentered="1"/>
  <pageMargins left="0.31496062992125984" right="0.2362204724409449" top="0.2755905511811024" bottom="0.5511811023622047" header="0.2362204724409449" footer="0.35433070866141736"/>
  <pageSetup orientation="landscape" scale="70" r:id="rId2"/>
  <headerFooter alignWithMargins="0">
    <oddHeader>&amp;R
</oddHeader>
    <oddFooter>&amp;C&amp;"Arial,Negrita"Pág. &amp;P - 4
</oddFooter>
  </headerFooter>
  <rowBreaks count="3" manualBreakCount="3">
    <brk id="14" min="1" max="15" man="1"/>
    <brk id="24" min="1" max="15" man="1"/>
    <brk id="35" min="1" max="15" man="1"/>
  </rowBreaks>
  <ignoredErrors>
    <ignoredError sqref="K6:K40 I40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U97"/>
  <sheetViews>
    <sheetView zoomScale="110" zoomScaleNormal="110" zoomScalePageLayoutView="0" workbookViewId="0" topLeftCell="A43">
      <pane xSplit="3" topLeftCell="G1" activePane="topRight" state="frozen"/>
      <selection pane="topLeft" activeCell="A373" sqref="A373"/>
      <selection pane="topRight" activeCell="I25" sqref="I25:I27"/>
    </sheetView>
  </sheetViews>
  <sheetFormatPr defaultColWidth="11.421875" defaultRowHeight="12.75"/>
  <cols>
    <col min="1" max="1" width="1.28515625" style="195" customWidth="1"/>
    <col min="2" max="2" width="9.7109375" style="196" customWidth="1"/>
    <col min="3" max="3" width="8.28125" style="196" customWidth="1"/>
    <col min="4" max="4" width="11.140625" style="196" customWidth="1"/>
    <col min="5" max="5" width="27.7109375" style="195" customWidth="1"/>
    <col min="6" max="6" width="17.140625" style="197" customWidth="1"/>
    <col min="7" max="7" width="17.00390625" style="196" customWidth="1"/>
    <col min="8" max="8" width="17.57421875" style="196" customWidth="1"/>
    <col min="9" max="9" width="13.421875" style="195" customWidth="1"/>
    <col min="10" max="10" width="6.28125" style="195" customWidth="1"/>
    <col min="11" max="11" width="11.28125" style="195" customWidth="1"/>
    <col min="12" max="12" width="6.28125" style="195" customWidth="1"/>
    <col min="13" max="13" width="10.7109375" style="195" customWidth="1"/>
    <col min="14" max="14" width="8.00390625" style="195" customWidth="1"/>
    <col min="15" max="15" width="10.28125" style="195" customWidth="1"/>
    <col min="16" max="16" width="15.00390625" style="195" customWidth="1"/>
    <col min="17" max="16384" width="11.421875" style="195" customWidth="1"/>
  </cols>
  <sheetData>
    <row r="1" spans="2:47" s="3" customFormat="1" ht="24.75" customHeight="1">
      <c r="B1" s="131"/>
      <c r="C1" s="132"/>
      <c r="D1" s="255" t="s">
        <v>3506</v>
      </c>
      <c r="E1" s="256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2:47" s="3" customFormat="1" ht="21.75" customHeight="1">
      <c r="B2" s="131"/>
      <c r="C2" s="132"/>
      <c r="D2" s="252" t="s">
        <v>3512</v>
      </c>
      <c r="E2" s="250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4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2:47" s="3" customFormat="1" ht="21.75" customHeight="1">
      <c r="B3" s="131"/>
      <c r="C3" s="134"/>
      <c r="D3" s="249" t="s">
        <v>3721</v>
      </c>
      <c r="E3" s="250"/>
      <c r="F3" s="251"/>
      <c r="G3" s="251"/>
      <c r="H3" s="251"/>
      <c r="I3" s="249"/>
      <c r="J3" s="135"/>
      <c r="K3" s="135"/>
      <c r="L3" s="135"/>
      <c r="M3" s="135"/>
      <c r="N3" s="135"/>
      <c r="O3" s="135"/>
      <c r="P3" s="13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2:47" s="3" customFormat="1" ht="9.75" customHeight="1">
      <c r="B4" s="131"/>
      <c r="C4" s="136"/>
      <c r="D4" s="136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</row>
    <row r="5" spans="2:47" s="19" customFormat="1" ht="53.25" customHeight="1">
      <c r="B5" s="435" t="s">
        <v>43</v>
      </c>
      <c r="C5" s="435" t="s">
        <v>1942</v>
      </c>
      <c r="D5" s="435" t="s">
        <v>1940</v>
      </c>
      <c r="E5" s="435" t="s">
        <v>44</v>
      </c>
      <c r="F5" s="435" t="s">
        <v>45</v>
      </c>
      <c r="G5" s="435" t="s">
        <v>3717</v>
      </c>
      <c r="H5" s="277" t="s">
        <v>1941</v>
      </c>
      <c r="I5" s="435" t="s">
        <v>54</v>
      </c>
      <c r="J5" s="435" t="s">
        <v>55</v>
      </c>
      <c r="K5" s="494" t="s">
        <v>56</v>
      </c>
      <c r="L5" s="435" t="s">
        <v>57</v>
      </c>
      <c r="M5" s="495" t="s">
        <v>58</v>
      </c>
      <c r="N5" s="494" t="s">
        <v>59</v>
      </c>
      <c r="O5" s="435" t="s">
        <v>60</v>
      </c>
      <c r="P5" s="435" t="s">
        <v>61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</row>
    <row r="6" spans="2:47" s="3" customFormat="1" ht="39.75" customHeight="1">
      <c r="B6" s="31">
        <v>37169</v>
      </c>
      <c r="C6" s="2">
        <v>34</v>
      </c>
      <c r="D6" s="46" t="s">
        <v>2882</v>
      </c>
      <c r="E6" s="26" t="s">
        <v>2400</v>
      </c>
      <c r="F6" s="2" t="s">
        <v>2401</v>
      </c>
      <c r="G6" s="2" t="s">
        <v>615</v>
      </c>
      <c r="H6" s="2" t="s">
        <v>437</v>
      </c>
      <c r="I6" s="138">
        <v>7735</v>
      </c>
      <c r="J6" s="224">
        <v>16.96</v>
      </c>
      <c r="K6" s="139">
        <f aca="true" t="shared" si="0" ref="K6:K17">+I6/J6</f>
        <v>456.0731132075471</v>
      </c>
      <c r="L6" s="2">
        <v>60</v>
      </c>
      <c r="M6" s="13">
        <f aca="true" t="shared" si="1" ref="M6:M17">IF(AND(I6&lt;&gt;0,L6&lt;&gt;0),I6/L6,0)</f>
        <v>128.91666666666666</v>
      </c>
      <c r="N6" s="220">
        <f aca="true" ca="1" t="shared" si="2" ref="N6:N17">IF(B6&lt;&gt;0,(ROUND((NOW()-B6)/30,0)),0)</f>
        <v>247</v>
      </c>
      <c r="O6" s="140">
        <v>1</v>
      </c>
      <c r="P6" s="2" t="s">
        <v>374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2:47" s="3" customFormat="1" ht="39.75" customHeight="1">
      <c r="B7" s="31">
        <v>37146</v>
      </c>
      <c r="C7" s="2">
        <v>44</v>
      </c>
      <c r="D7" s="46" t="s">
        <v>2873</v>
      </c>
      <c r="E7" s="26" t="s">
        <v>2402</v>
      </c>
      <c r="F7" s="2" t="s">
        <v>42</v>
      </c>
      <c r="G7" s="2" t="s">
        <v>221</v>
      </c>
      <c r="H7" s="2" t="s">
        <v>437</v>
      </c>
      <c r="I7" s="138">
        <v>5400</v>
      </c>
      <c r="J7" s="224">
        <v>16.96</v>
      </c>
      <c r="K7" s="139">
        <f t="shared" si="0"/>
        <v>318.3962264150943</v>
      </c>
      <c r="L7" s="2">
        <v>60</v>
      </c>
      <c r="M7" s="13">
        <f t="shared" si="1"/>
        <v>90</v>
      </c>
      <c r="N7" s="220">
        <f ca="1" t="shared" si="2"/>
        <v>247</v>
      </c>
      <c r="O7" s="140">
        <v>1</v>
      </c>
      <c r="P7" s="2" t="s">
        <v>374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2:47" s="3" customFormat="1" ht="39.75" customHeight="1">
      <c r="B8" s="31">
        <v>37396</v>
      </c>
      <c r="C8" s="2">
        <v>185</v>
      </c>
      <c r="D8" s="46" t="s">
        <v>2881</v>
      </c>
      <c r="E8" s="26" t="s">
        <v>2403</v>
      </c>
      <c r="F8" s="2" t="s">
        <v>42</v>
      </c>
      <c r="G8" s="2" t="s">
        <v>1830</v>
      </c>
      <c r="H8" s="2" t="s">
        <v>437</v>
      </c>
      <c r="I8" s="138">
        <v>1175.72</v>
      </c>
      <c r="J8" s="224">
        <v>20.71</v>
      </c>
      <c r="K8" s="139">
        <f t="shared" si="0"/>
        <v>56.77064220183486</v>
      </c>
      <c r="L8" s="2">
        <v>60</v>
      </c>
      <c r="M8" s="13">
        <f t="shared" si="1"/>
        <v>19.595333333333333</v>
      </c>
      <c r="N8" s="220">
        <f ca="1" t="shared" si="2"/>
        <v>239</v>
      </c>
      <c r="O8" s="140">
        <v>1</v>
      </c>
      <c r="P8" s="2" t="s">
        <v>374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2:47" s="3" customFormat="1" ht="39.75" customHeight="1">
      <c r="B9" s="31">
        <v>37473</v>
      </c>
      <c r="C9" s="2">
        <v>275</v>
      </c>
      <c r="D9" s="46" t="s">
        <v>2874</v>
      </c>
      <c r="E9" s="26" t="s">
        <v>2404</v>
      </c>
      <c r="F9" s="2" t="s">
        <v>42</v>
      </c>
      <c r="G9" s="2" t="s">
        <v>2162</v>
      </c>
      <c r="H9" s="2" t="s">
        <v>437</v>
      </c>
      <c r="I9" s="138">
        <v>10823.9</v>
      </c>
      <c r="J9" s="224">
        <v>20.71</v>
      </c>
      <c r="K9" s="139">
        <f t="shared" si="0"/>
        <v>522.6412361178175</v>
      </c>
      <c r="L9" s="2">
        <v>60</v>
      </c>
      <c r="M9" s="13">
        <f t="shared" si="1"/>
        <v>180.39833333333334</v>
      </c>
      <c r="N9" s="220">
        <f ca="1" t="shared" si="2"/>
        <v>236</v>
      </c>
      <c r="O9" s="140">
        <v>1</v>
      </c>
      <c r="P9" s="2" t="s">
        <v>374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2:47" s="3" customFormat="1" ht="39.75" customHeight="1">
      <c r="B10" s="31">
        <v>37481</v>
      </c>
      <c r="C10" s="2">
        <v>294</v>
      </c>
      <c r="D10" s="46" t="s">
        <v>2872</v>
      </c>
      <c r="E10" s="26" t="s">
        <v>2405</v>
      </c>
      <c r="F10" s="2" t="s">
        <v>2406</v>
      </c>
      <c r="G10" s="2" t="s">
        <v>2076</v>
      </c>
      <c r="H10" s="2" t="s">
        <v>437</v>
      </c>
      <c r="I10" s="138">
        <v>66323.68</v>
      </c>
      <c r="J10" s="224">
        <v>20.71</v>
      </c>
      <c r="K10" s="139">
        <f t="shared" si="0"/>
        <v>3202.4954128440363</v>
      </c>
      <c r="L10" s="2">
        <v>60</v>
      </c>
      <c r="M10" s="13">
        <f t="shared" si="1"/>
        <v>1105.3946666666666</v>
      </c>
      <c r="N10" s="220">
        <f ca="1" t="shared" si="2"/>
        <v>236</v>
      </c>
      <c r="O10" s="140">
        <v>1</v>
      </c>
      <c r="P10" s="2" t="s">
        <v>374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2:47" s="3" customFormat="1" ht="39.75" customHeight="1">
      <c r="B11" s="31">
        <v>37489</v>
      </c>
      <c r="C11" s="2">
        <v>295</v>
      </c>
      <c r="D11" s="46" t="s">
        <v>2875</v>
      </c>
      <c r="E11" s="26" t="s">
        <v>2407</v>
      </c>
      <c r="F11" s="2" t="s">
        <v>42</v>
      </c>
      <c r="G11" s="2" t="s">
        <v>615</v>
      </c>
      <c r="H11" s="2" t="s">
        <v>437</v>
      </c>
      <c r="I11" s="138">
        <v>6666.66</v>
      </c>
      <c r="J11" s="224">
        <v>20.71</v>
      </c>
      <c r="K11" s="139">
        <f t="shared" si="0"/>
        <v>321.9053597295992</v>
      </c>
      <c r="L11" s="2">
        <v>60</v>
      </c>
      <c r="M11" s="13">
        <f t="shared" si="1"/>
        <v>111.111</v>
      </c>
      <c r="N11" s="220">
        <f ca="1" t="shared" si="2"/>
        <v>236</v>
      </c>
      <c r="O11" s="140">
        <v>1</v>
      </c>
      <c r="P11" s="2" t="s">
        <v>374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2:47" s="3" customFormat="1" ht="39.75" customHeight="1">
      <c r="B12" s="31">
        <v>37489</v>
      </c>
      <c r="C12" s="2">
        <v>295</v>
      </c>
      <c r="D12" s="46" t="s">
        <v>2876</v>
      </c>
      <c r="E12" s="26" t="s">
        <v>2407</v>
      </c>
      <c r="F12" s="2" t="s">
        <v>42</v>
      </c>
      <c r="G12" s="2" t="s">
        <v>553</v>
      </c>
      <c r="H12" s="2" t="s">
        <v>437</v>
      </c>
      <c r="I12" s="138">
        <v>6666.66</v>
      </c>
      <c r="J12" s="224">
        <v>20.71</v>
      </c>
      <c r="K12" s="139">
        <f t="shared" si="0"/>
        <v>321.9053597295992</v>
      </c>
      <c r="L12" s="2">
        <v>60</v>
      </c>
      <c r="M12" s="13">
        <f t="shared" si="1"/>
        <v>111.111</v>
      </c>
      <c r="N12" s="220">
        <f ca="1" t="shared" si="2"/>
        <v>236</v>
      </c>
      <c r="O12" s="140">
        <v>1</v>
      </c>
      <c r="P12" s="2" t="s">
        <v>374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</row>
    <row r="13" spans="2:47" s="3" customFormat="1" ht="39.75" customHeight="1">
      <c r="B13" s="31">
        <v>37489</v>
      </c>
      <c r="C13" s="2">
        <v>295</v>
      </c>
      <c r="D13" s="46" t="s">
        <v>2918</v>
      </c>
      <c r="E13" s="26" t="s">
        <v>2408</v>
      </c>
      <c r="F13" s="2" t="s">
        <v>42</v>
      </c>
      <c r="G13" s="2" t="s">
        <v>553</v>
      </c>
      <c r="H13" s="2" t="s">
        <v>437</v>
      </c>
      <c r="I13" s="138">
        <v>6666.66</v>
      </c>
      <c r="J13" s="224">
        <v>20.71</v>
      </c>
      <c r="K13" s="139">
        <f t="shared" si="0"/>
        <v>321.9053597295992</v>
      </c>
      <c r="L13" s="2">
        <v>60</v>
      </c>
      <c r="M13" s="13">
        <f t="shared" si="1"/>
        <v>111.111</v>
      </c>
      <c r="N13" s="220">
        <f ca="1" t="shared" si="2"/>
        <v>236</v>
      </c>
      <c r="O13" s="140">
        <v>1</v>
      </c>
      <c r="P13" s="2" t="s">
        <v>374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2:47" s="3" customFormat="1" ht="39.75" customHeight="1">
      <c r="B14" s="31">
        <v>37489</v>
      </c>
      <c r="C14" s="2">
        <v>295</v>
      </c>
      <c r="D14" s="46" t="s">
        <v>2877</v>
      </c>
      <c r="E14" s="26" t="s">
        <v>2409</v>
      </c>
      <c r="F14" s="2" t="s">
        <v>42</v>
      </c>
      <c r="G14" s="2" t="s">
        <v>615</v>
      </c>
      <c r="H14" s="2" t="s">
        <v>437</v>
      </c>
      <c r="I14" s="138">
        <v>2500</v>
      </c>
      <c r="J14" s="224">
        <v>20.71</v>
      </c>
      <c r="K14" s="139">
        <f t="shared" si="0"/>
        <v>120.71463061323031</v>
      </c>
      <c r="L14" s="2">
        <v>60</v>
      </c>
      <c r="M14" s="13">
        <f t="shared" si="1"/>
        <v>41.666666666666664</v>
      </c>
      <c r="N14" s="220">
        <f ca="1" t="shared" si="2"/>
        <v>236</v>
      </c>
      <c r="O14" s="140">
        <v>1</v>
      </c>
      <c r="P14" s="2" t="s">
        <v>374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</row>
    <row r="15" spans="2:47" s="3" customFormat="1" ht="39.75" customHeight="1">
      <c r="B15" s="31">
        <v>37565</v>
      </c>
      <c r="C15" s="2">
        <v>378</v>
      </c>
      <c r="D15" s="46" t="s">
        <v>2880</v>
      </c>
      <c r="E15" s="26" t="s">
        <v>2879</v>
      </c>
      <c r="F15" s="2" t="s">
        <v>2878</v>
      </c>
      <c r="G15" s="2" t="s">
        <v>2422</v>
      </c>
      <c r="H15" s="2" t="s">
        <v>437</v>
      </c>
      <c r="I15" s="138">
        <v>1963.39</v>
      </c>
      <c r="J15" s="224">
        <v>20.71</v>
      </c>
      <c r="K15" s="139">
        <f t="shared" si="0"/>
        <v>94.80395943988411</v>
      </c>
      <c r="L15" s="2">
        <v>60</v>
      </c>
      <c r="M15" s="13">
        <f t="shared" si="1"/>
        <v>32.72316666666667</v>
      </c>
      <c r="N15" s="220">
        <f ca="1" t="shared" si="2"/>
        <v>233</v>
      </c>
      <c r="O15" s="140">
        <v>1</v>
      </c>
      <c r="P15" s="2" t="s">
        <v>374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</row>
    <row r="16" spans="2:47" s="3" customFormat="1" ht="39.75" customHeight="1">
      <c r="B16" s="31">
        <v>37599</v>
      </c>
      <c r="C16" s="2">
        <v>413</v>
      </c>
      <c r="D16" s="46" t="s">
        <v>2884</v>
      </c>
      <c r="E16" s="293" t="s">
        <v>2883</v>
      </c>
      <c r="F16" s="2" t="s">
        <v>42</v>
      </c>
      <c r="G16" s="2" t="s">
        <v>615</v>
      </c>
      <c r="H16" s="2" t="s">
        <v>437</v>
      </c>
      <c r="I16" s="138">
        <v>21000</v>
      </c>
      <c r="J16" s="224">
        <v>20.71</v>
      </c>
      <c r="K16" s="139">
        <f t="shared" si="0"/>
        <v>1014.0028971511347</v>
      </c>
      <c r="L16" s="2">
        <v>60</v>
      </c>
      <c r="M16" s="13">
        <f t="shared" si="1"/>
        <v>350</v>
      </c>
      <c r="N16" s="220">
        <f ca="1" t="shared" si="2"/>
        <v>232</v>
      </c>
      <c r="O16" s="140">
        <v>1</v>
      </c>
      <c r="P16" s="2" t="s">
        <v>374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2:47" s="3" customFormat="1" ht="39.75" customHeight="1">
      <c r="B17" s="31">
        <v>37601</v>
      </c>
      <c r="C17" s="2">
        <v>439</v>
      </c>
      <c r="D17" s="46" t="s">
        <v>2885</v>
      </c>
      <c r="E17" s="293" t="s">
        <v>2410</v>
      </c>
      <c r="F17" s="2" t="s">
        <v>42</v>
      </c>
      <c r="G17" s="2" t="s">
        <v>2162</v>
      </c>
      <c r="H17" s="2" t="s">
        <v>437</v>
      </c>
      <c r="I17" s="138">
        <v>2184</v>
      </c>
      <c r="J17" s="224">
        <v>20.71</v>
      </c>
      <c r="K17" s="139">
        <f t="shared" si="0"/>
        <v>105.456301303718</v>
      </c>
      <c r="L17" s="2">
        <v>60</v>
      </c>
      <c r="M17" s="13">
        <f t="shared" si="1"/>
        <v>36.4</v>
      </c>
      <c r="N17" s="220">
        <f ca="1" t="shared" si="2"/>
        <v>232</v>
      </c>
      <c r="O17" s="140">
        <v>1</v>
      </c>
      <c r="P17" s="2" t="s">
        <v>374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47" s="3" customFormat="1" ht="51.75" customHeight="1">
      <c r="B18" s="652">
        <v>38495</v>
      </c>
      <c r="C18" s="635">
        <v>1787577</v>
      </c>
      <c r="D18" s="653" t="s">
        <v>2922</v>
      </c>
      <c r="E18" s="636" t="s">
        <v>3899</v>
      </c>
      <c r="F18" s="635" t="s">
        <v>3896</v>
      </c>
      <c r="G18" s="635" t="s">
        <v>2614</v>
      </c>
      <c r="H18" s="635" t="s">
        <v>3278</v>
      </c>
      <c r="I18" s="654">
        <v>666072</v>
      </c>
      <c r="J18" s="655">
        <v>34.38</v>
      </c>
      <c r="K18" s="656">
        <f aca="true" t="shared" si="3" ref="K18:K28">+I18/J18</f>
        <v>19373.821989528795</v>
      </c>
      <c r="L18" s="635">
        <v>60</v>
      </c>
      <c r="M18" s="657">
        <f aca="true" t="shared" si="4" ref="M18:M24">IF(AND(I18&lt;&gt;0,L18&lt;&gt;0),I18/L18,0)</f>
        <v>11101.2</v>
      </c>
      <c r="N18" s="658">
        <f aca="true" ca="1" t="shared" si="5" ref="N18:N24">IF(B18&lt;&gt;0,(ROUND((NOW()-B18)/30,0)),0)</f>
        <v>202</v>
      </c>
      <c r="O18" s="659">
        <v>1</v>
      </c>
      <c r="P18" s="645" t="s">
        <v>2412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19" spans="2:47" s="3" customFormat="1" ht="50.25" customHeight="1">
      <c r="B19" s="652">
        <v>38495</v>
      </c>
      <c r="C19" s="635">
        <v>1787577</v>
      </c>
      <c r="D19" s="653" t="s">
        <v>2887</v>
      </c>
      <c r="E19" s="636" t="s">
        <v>2411</v>
      </c>
      <c r="F19" s="635" t="s">
        <v>3898</v>
      </c>
      <c r="G19" s="635" t="s">
        <v>429</v>
      </c>
      <c r="H19" s="635" t="s">
        <v>3305</v>
      </c>
      <c r="I19" s="654">
        <v>666072</v>
      </c>
      <c r="J19" s="655">
        <v>34.38</v>
      </c>
      <c r="K19" s="656">
        <f t="shared" si="3"/>
        <v>19373.821989528795</v>
      </c>
      <c r="L19" s="635">
        <v>60</v>
      </c>
      <c r="M19" s="657">
        <f t="shared" si="4"/>
        <v>11101.2</v>
      </c>
      <c r="N19" s="658">
        <f ca="1" t="shared" si="5"/>
        <v>202</v>
      </c>
      <c r="O19" s="659">
        <v>1</v>
      </c>
      <c r="P19" s="645" t="s">
        <v>2412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2:47" s="3" customFormat="1" ht="39.75" customHeight="1">
      <c r="B20" s="31">
        <v>38572</v>
      </c>
      <c r="C20" s="2">
        <v>40</v>
      </c>
      <c r="D20" s="46" t="s">
        <v>2923</v>
      </c>
      <c r="E20" s="26" t="s">
        <v>2413</v>
      </c>
      <c r="F20" s="2" t="s">
        <v>2414</v>
      </c>
      <c r="G20" s="2" t="s">
        <v>2614</v>
      </c>
      <c r="H20" s="2" t="s">
        <v>184</v>
      </c>
      <c r="I20" s="138">
        <v>15600</v>
      </c>
      <c r="J20" s="224">
        <v>34.38</v>
      </c>
      <c r="K20" s="139">
        <f t="shared" si="3"/>
        <v>453.75218150087255</v>
      </c>
      <c r="L20" s="2">
        <v>60</v>
      </c>
      <c r="M20" s="13">
        <f t="shared" si="4"/>
        <v>260</v>
      </c>
      <c r="N20" s="220">
        <f ca="1" t="shared" si="5"/>
        <v>200</v>
      </c>
      <c r="O20" s="140">
        <v>1</v>
      </c>
      <c r="P20" s="1" t="s">
        <v>2415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</row>
    <row r="21" spans="1:47" s="3" customFormat="1" ht="47.25" customHeight="1">
      <c r="A21" s="291"/>
      <c r="B21" s="652">
        <v>38603</v>
      </c>
      <c r="C21" s="635">
        <v>3094464</v>
      </c>
      <c r="D21" s="653" t="s">
        <v>2889</v>
      </c>
      <c r="E21" s="636" t="s">
        <v>3277</v>
      </c>
      <c r="F21" s="635" t="s">
        <v>3276</v>
      </c>
      <c r="G21" s="635" t="s">
        <v>3279</v>
      </c>
      <c r="H21" s="635" t="s">
        <v>3278</v>
      </c>
      <c r="I21" s="654">
        <v>840910</v>
      </c>
      <c r="J21" s="655">
        <v>34.38</v>
      </c>
      <c r="K21" s="656">
        <f t="shared" si="3"/>
        <v>24459.278650378124</v>
      </c>
      <c r="L21" s="635">
        <v>60</v>
      </c>
      <c r="M21" s="657">
        <f t="shared" si="4"/>
        <v>14015.166666666666</v>
      </c>
      <c r="N21" s="658">
        <f ca="1" t="shared" si="5"/>
        <v>199</v>
      </c>
      <c r="O21" s="659">
        <v>1</v>
      </c>
      <c r="P21" s="645" t="s">
        <v>2416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</row>
    <row r="22" spans="2:47" s="3" customFormat="1" ht="39.75" customHeight="1">
      <c r="B22" s="31">
        <v>38688</v>
      </c>
      <c r="C22" s="2">
        <v>4809366</v>
      </c>
      <c r="D22" s="46" t="s">
        <v>2886</v>
      </c>
      <c r="E22" s="26" t="s">
        <v>2417</v>
      </c>
      <c r="F22" s="2" t="s">
        <v>42</v>
      </c>
      <c r="G22" s="2" t="s">
        <v>2615</v>
      </c>
      <c r="H22" s="2" t="s">
        <v>437</v>
      </c>
      <c r="I22" s="138">
        <v>73197.6</v>
      </c>
      <c r="J22" s="224">
        <v>34.38</v>
      </c>
      <c r="K22" s="139">
        <f t="shared" si="3"/>
        <v>2129.0750436300173</v>
      </c>
      <c r="L22" s="2">
        <v>60</v>
      </c>
      <c r="M22" s="13">
        <f t="shared" si="4"/>
        <v>1219.96</v>
      </c>
      <c r="N22" s="220">
        <f ca="1" t="shared" si="5"/>
        <v>196</v>
      </c>
      <c r="O22" s="140">
        <v>1</v>
      </c>
      <c r="P22" s="1" t="s">
        <v>2418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1:47" s="3" customFormat="1" ht="39.75" customHeight="1">
      <c r="A23" s="291"/>
      <c r="B23" s="652">
        <v>39035</v>
      </c>
      <c r="C23" s="635">
        <v>2251885</v>
      </c>
      <c r="D23" s="653" t="s">
        <v>2888</v>
      </c>
      <c r="E23" s="636" t="s">
        <v>3900</v>
      </c>
      <c r="F23" s="635" t="s">
        <v>3897</v>
      </c>
      <c r="G23" s="635" t="s">
        <v>429</v>
      </c>
      <c r="H23" s="635" t="s">
        <v>437</v>
      </c>
      <c r="I23" s="654">
        <v>1238989.55</v>
      </c>
      <c r="J23" s="655">
        <v>33.48</v>
      </c>
      <c r="K23" s="656">
        <f t="shared" si="3"/>
        <v>37006.856332138595</v>
      </c>
      <c r="L23" s="635">
        <v>60</v>
      </c>
      <c r="M23" s="657">
        <f t="shared" si="4"/>
        <v>20649.825833333332</v>
      </c>
      <c r="N23" s="658">
        <f ca="1" t="shared" si="5"/>
        <v>184</v>
      </c>
      <c r="O23" s="659">
        <v>1</v>
      </c>
      <c r="P23" s="645" t="s">
        <v>2419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2:47" s="3" customFormat="1" ht="39.75" customHeight="1">
      <c r="B24" s="31">
        <v>40066</v>
      </c>
      <c r="C24" s="2">
        <v>1504</v>
      </c>
      <c r="D24" s="46" t="s">
        <v>2890</v>
      </c>
      <c r="E24" s="293" t="s">
        <v>2420</v>
      </c>
      <c r="F24" s="2" t="s">
        <v>2421</v>
      </c>
      <c r="G24" s="2" t="s">
        <v>615</v>
      </c>
      <c r="H24" s="2" t="s">
        <v>437</v>
      </c>
      <c r="I24" s="138">
        <v>7194</v>
      </c>
      <c r="J24" s="224">
        <v>36.13</v>
      </c>
      <c r="K24" s="139">
        <f t="shared" si="3"/>
        <v>199.11430943814003</v>
      </c>
      <c r="L24" s="2">
        <v>60</v>
      </c>
      <c r="M24" s="13">
        <f t="shared" si="4"/>
        <v>119.9</v>
      </c>
      <c r="N24" s="220">
        <f ca="1" t="shared" si="5"/>
        <v>150</v>
      </c>
      <c r="O24" s="140">
        <v>1</v>
      </c>
      <c r="P24" s="1" t="s">
        <v>396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2:47" s="3" customFormat="1" ht="39.75" customHeight="1">
      <c r="B25" s="31">
        <v>41145</v>
      </c>
      <c r="C25" s="2">
        <v>3643</v>
      </c>
      <c r="D25" s="46" t="s">
        <v>2919</v>
      </c>
      <c r="E25" s="26" t="s">
        <v>2423</v>
      </c>
      <c r="F25" s="17" t="s">
        <v>2424</v>
      </c>
      <c r="G25" s="2" t="s">
        <v>2613</v>
      </c>
      <c r="H25" s="2" t="s">
        <v>342</v>
      </c>
      <c r="I25" s="138">
        <f>2095</f>
        <v>2095</v>
      </c>
      <c r="J25" s="224">
        <v>39.11</v>
      </c>
      <c r="K25" s="139">
        <f t="shared" si="3"/>
        <v>53.56686269496293</v>
      </c>
      <c r="L25" s="2">
        <v>60</v>
      </c>
      <c r="M25" s="13">
        <f aca="true" t="shared" si="6" ref="M25:M30">IF(AND(I25&lt;&gt;0,L25&lt;&gt;0),I25/L25,0)</f>
        <v>34.916666666666664</v>
      </c>
      <c r="N25" s="220">
        <f aca="true" ca="1" t="shared" si="7" ref="N25:N31">IF(B25&lt;&gt;0,(ROUND((NOW()-B25)/30,0)),0)</f>
        <v>114</v>
      </c>
      <c r="O25" s="140">
        <v>1</v>
      </c>
      <c r="P25" s="1" t="s">
        <v>2425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</row>
    <row r="26" spans="2:47" s="3" customFormat="1" ht="43.5" customHeight="1">
      <c r="B26" s="31">
        <v>41145</v>
      </c>
      <c r="C26" s="2">
        <v>3643</v>
      </c>
      <c r="D26" s="46" t="s">
        <v>2920</v>
      </c>
      <c r="E26" s="26" t="s">
        <v>2426</v>
      </c>
      <c r="F26" s="2" t="s">
        <v>42</v>
      </c>
      <c r="G26" s="2" t="s">
        <v>2613</v>
      </c>
      <c r="H26" s="2" t="s">
        <v>342</v>
      </c>
      <c r="I26" s="138">
        <f>2104</f>
        <v>2104</v>
      </c>
      <c r="J26" s="224">
        <v>39.11</v>
      </c>
      <c r="K26" s="139">
        <f t="shared" si="3"/>
        <v>53.7969828688315</v>
      </c>
      <c r="L26" s="2">
        <v>60</v>
      </c>
      <c r="M26" s="13">
        <f t="shared" si="6"/>
        <v>35.06666666666667</v>
      </c>
      <c r="N26" s="220">
        <f ca="1" t="shared" si="7"/>
        <v>114</v>
      </c>
      <c r="O26" s="140">
        <v>1</v>
      </c>
      <c r="P26" s="1" t="s">
        <v>2425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</row>
    <row r="27" spans="2:47" s="3" customFormat="1" ht="39.75" customHeight="1">
      <c r="B27" s="31">
        <v>41145</v>
      </c>
      <c r="C27" s="2">
        <v>3644</v>
      </c>
      <c r="D27" s="46" t="s">
        <v>2893</v>
      </c>
      <c r="E27" s="26" t="s">
        <v>2891</v>
      </c>
      <c r="F27" s="2" t="s">
        <v>42</v>
      </c>
      <c r="G27" s="2" t="s">
        <v>2892</v>
      </c>
      <c r="H27" s="2" t="s">
        <v>437</v>
      </c>
      <c r="I27" s="138">
        <f>2586.21+413.79</f>
        <v>3000</v>
      </c>
      <c r="J27" s="224">
        <v>39.11</v>
      </c>
      <c r="K27" s="139">
        <f t="shared" si="3"/>
        <v>76.7067246228586</v>
      </c>
      <c r="L27" s="2">
        <v>60</v>
      </c>
      <c r="M27" s="13">
        <f t="shared" si="6"/>
        <v>50</v>
      </c>
      <c r="N27" s="220">
        <f ca="1" t="shared" si="7"/>
        <v>114</v>
      </c>
      <c r="O27" s="140">
        <v>1</v>
      </c>
      <c r="P27" s="1" t="s">
        <v>2427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</row>
    <row r="28" spans="2:47" s="3" customFormat="1" ht="39.75" customHeight="1">
      <c r="B28" s="31">
        <v>41331</v>
      </c>
      <c r="C28" s="2">
        <v>3722</v>
      </c>
      <c r="D28" s="46" t="s">
        <v>2894</v>
      </c>
      <c r="E28" s="26" t="s">
        <v>2428</v>
      </c>
      <c r="F28" s="2" t="s">
        <v>2429</v>
      </c>
      <c r="G28" s="2" t="s">
        <v>2075</v>
      </c>
      <c r="H28" s="2" t="s">
        <v>437</v>
      </c>
      <c r="I28" s="141">
        <v>8771.65</v>
      </c>
      <c r="J28" s="224">
        <v>40.87</v>
      </c>
      <c r="K28" s="139">
        <f t="shared" si="3"/>
        <v>214.62319549792025</v>
      </c>
      <c r="L28" s="2">
        <v>60</v>
      </c>
      <c r="M28" s="13">
        <f t="shared" si="6"/>
        <v>146.19416666666666</v>
      </c>
      <c r="N28" s="220">
        <f ca="1" t="shared" si="7"/>
        <v>108</v>
      </c>
      <c r="O28" s="140">
        <v>1</v>
      </c>
      <c r="P28" s="1" t="s">
        <v>2430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</row>
    <row r="29" spans="2:47" s="3" customFormat="1" ht="39.75" customHeight="1">
      <c r="B29" s="31">
        <v>41690</v>
      </c>
      <c r="C29" s="2" t="s">
        <v>2431</v>
      </c>
      <c r="D29" s="46" t="s">
        <v>2921</v>
      </c>
      <c r="E29" s="26" t="s">
        <v>2432</v>
      </c>
      <c r="F29" s="2" t="s">
        <v>42</v>
      </c>
      <c r="G29" s="2" t="s">
        <v>2613</v>
      </c>
      <c r="H29" s="2" t="s">
        <v>342</v>
      </c>
      <c r="I29" s="201">
        <v>53100</v>
      </c>
      <c r="J29" s="224">
        <v>43.16</v>
      </c>
      <c r="K29" s="32">
        <f>+I29/J29</f>
        <v>1230.3058387395738</v>
      </c>
      <c r="L29" s="2" t="s">
        <v>3882</v>
      </c>
      <c r="M29" s="13" t="e">
        <f t="shared" si="6"/>
        <v>#VALUE!</v>
      </c>
      <c r="N29" s="220">
        <f ca="1" t="shared" si="7"/>
        <v>96</v>
      </c>
      <c r="O29" s="140">
        <v>1</v>
      </c>
      <c r="P29" s="1" t="s">
        <v>2433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2:47" s="3" customFormat="1" ht="36" customHeight="1">
      <c r="B30" s="31">
        <v>42041</v>
      </c>
      <c r="C30" s="26" t="s">
        <v>2434</v>
      </c>
      <c r="D30" s="46" t="s">
        <v>2895</v>
      </c>
      <c r="E30" s="26" t="s">
        <v>673</v>
      </c>
      <c r="F30" s="2" t="s">
        <v>2435</v>
      </c>
      <c r="G30" s="2" t="s">
        <v>615</v>
      </c>
      <c r="H30" s="2" t="s">
        <v>437</v>
      </c>
      <c r="I30" s="49">
        <v>24097.36</v>
      </c>
      <c r="J30" s="224">
        <v>44.7827</v>
      </c>
      <c r="K30" s="50">
        <f>+I30/J30</f>
        <v>538.0952912620276</v>
      </c>
      <c r="L30" s="2">
        <v>120</v>
      </c>
      <c r="M30" s="13">
        <f t="shared" si="6"/>
        <v>200.81133333333335</v>
      </c>
      <c r="N30" s="220">
        <f ca="1" t="shared" si="7"/>
        <v>84</v>
      </c>
      <c r="O30" s="51">
        <f>IF(OR(I30=0,L30=0,N30=0),0,I30-(M30*N30))</f>
        <v>7229.207999999999</v>
      </c>
      <c r="P30" s="1" t="s">
        <v>675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</row>
    <row r="31" spans="2:47" s="3" customFormat="1" ht="37.5" customHeight="1">
      <c r="B31" s="31">
        <v>42772</v>
      </c>
      <c r="C31" s="1" t="s">
        <v>2436</v>
      </c>
      <c r="D31" s="46" t="s">
        <v>2897</v>
      </c>
      <c r="E31" s="26" t="s">
        <v>2438</v>
      </c>
      <c r="F31" s="2" t="s">
        <v>42</v>
      </c>
      <c r="G31" s="2" t="s">
        <v>2896</v>
      </c>
      <c r="H31" s="2" t="s">
        <v>437</v>
      </c>
      <c r="I31" s="49">
        <v>3536.46</v>
      </c>
      <c r="J31" s="224">
        <v>46.9</v>
      </c>
      <c r="K31" s="50">
        <f aca="true" t="shared" si="8" ref="K31:K49">+I31/J31</f>
        <v>75.4042643923241</v>
      </c>
      <c r="L31" s="2">
        <v>60</v>
      </c>
      <c r="M31" s="13">
        <f aca="true" t="shared" si="9" ref="M31:M49">IF(AND(I31&lt;&gt;0,L31&lt;&gt;0),I31/L31,0)</f>
        <v>58.941</v>
      </c>
      <c r="N31" s="220">
        <f ca="1" t="shared" si="7"/>
        <v>60</v>
      </c>
      <c r="O31" s="51">
        <f aca="true" t="shared" si="10" ref="O31:O49">IF(OR(I31=0,L31=0,N31=0),0,I31-(M31*N31))</f>
        <v>0</v>
      </c>
      <c r="P31" s="1" t="s">
        <v>2437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</row>
    <row r="32" spans="2:47" s="3" customFormat="1" ht="36" customHeight="1">
      <c r="B32" s="31">
        <v>42772</v>
      </c>
      <c r="C32" s="1" t="s">
        <v>2436</v>
      </c>
      <c r="D32" s="46" t="s">
        <v>2899</v>
      </c>
      <c r="E32" s="26" t="s">
        <v>2438</v>
      </c>
      <c r="F32" s="2" t="s">
        <v>42</v>
      </c>
      <c r="G32" s="2" t="s">
        <v>2898</v>
      </c>
      <c r="H32" s="2" t="s">
        <v>437</v>
      </c>
      <c r="I32" s="49">
        <v>3536.46</v>
      </c>
      <c r="J32" s="224">
        <v>46.9</v>
      </c>
      <c r="K32" s="50">
        <f t="shared" si="8"/>
        <v>75.4042643923241</v>
      </c>
      <c r="L32" s="2">
        <v>60</v>
      </c>
      <c r="M32" s="13">
        <f t="shared" si="9"/>
        <v>58.941</v>
      </c>
      <c r="N32" s="220">
        <f aca="true" ca="1" t="shared" si="11" ref="N32:N50">IF(B32&lt;&gt;0,(ROUND((NOW()-B32)/30,0)),0)</f>
        <v>60</v>
      </c>
      <c r="O32" s="51">
        <f t="shared" si="10"/>
        <v>0</v>
      </c>
      <c r="P32" s="1" t="s">
        <v>2437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</row>
    <row r="33" spans="2:47" s="3" customFormat="1" ht="36" customHeight="1">
      <c r="B33" s="31">
        <v>42772</v>
      </c>
      <c r="C33" s="1" t="s">
        <v>2436</v>
      </c>
      <c r="D33" s="46" t="s">
        <v>2900</v>
      </c>
      <c r="E33" s="26" t="s">
        <v>2438</v>
      </c>
      <c r="F33" s="2" t="s">
        <v>42</v>
      </c>
      <c r="G33" s="2" t="s">
        <v>452</v>
      </c>
      <c r="H33" s="2" t="s">
        <v>437</v>
      </c>
      <c r="I33" s="49">
        <v>3536.46</v>
      </c>
      <c r="J33" s="224">
        <v>46.9</v>
      </c>
      <c r="K33" s="50">
        <f t="shared" si="8"/>
        <v>75.4042643923241</v>
      </c>
      <c r="L33" s="2">
        <v>60</v>
      </c>
      <c r="M33" s="13">
        <f t="shared" si="9"/>
        <v>58.941</v>
      </c>
      <c r="N33" s="220">
        <f ca="1" t="shared" si="11"/>
        <v>60</v>
      </c>
      <c r="O33" s="51">
        <f t="shared" si="10"/>
        <v>0</v>
      </c>
      <c r="P33" s="1" t="s">
        <v>2437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</row>
    <row r="34" spans="2:47" s="3" customFormat="1" ht="36" customHeight="1">
      <c r="B34" s="31">
        <v>42772</v>
      </c>
      <c r="C34" s="1" t="s">
        <v>2436</v>
      </c>
      <c r="D34" s="46" t="s">
        <v>2902</v>
      </c>
      <c r="E34" s="26" t="s">
        <v>2438</v>
      </c>
      <c r="F34" s="2" t="s">
        <v>42</v>
      </c>
      <c r="G34" s="2" t="s">
        <v>2901</v>
      </c>
      <c r="H34" s="2" t="s">
        <v>437</v>
      </c>
      <c r="I34" s="49">
        <v>3536.46</v>
      </c>
      <c r="J34" s="224">
        <v>46.9</v>
      </c>
      <c r="K34" s="50">
        <f t="shared" si="8"/>
        <v>75.4042643923241</v>
      </c>
      <c r="L34" s="2">
        <v>60</v>
      </c>
      <c r="M34" s="13">
        <f t="shared" si="9"/>
        <v>58.941</v>
      </c>
      <c r="N34" s="220">
        <f ca="1" t="shared" si="11"/>
        <v>60</v>
      </c>
      <c r="O34" s="51">
        <f t="shared" si="10"/>
        <v>0</v>
      </c>
      <c r="P34" s="1" t="s">
        <v>2437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</row>
    <row r="35" spans="2:47" s="3" customFormat="1" ht="36" customHeight="1">
      <c r="B35" s="31">
        <v>42772</v>
      </c>
      <c r="C35" s="1" t="s">
        <v>2436</v>
      </c>
      <c r="D35" s="46" t="s">
        <v>2903</v>
      </c>
      <c r="E35" s="26" t="s">
        <v>2438</v>
      </c>
      <c r="F35" s="2" t="s">
        <v>42</v>
      </c>
      <c r="G35" s="2" t="s">
        <v>3644</v>
      </c>
      <c r="H35" s="2" t="s">
        <v>437</v>
      </c>
      <c r="I35" s="49">
        <v>3536.46</v>
      </c>
      <c r="J35" s="224">
        <v>46.9</v>
      </c>
      <c r="K35" s="50">
        <f t="shared" si="8"/>
        <v>75.4042643923241</v>
      </c>
      <c r="L35" s="2">
        <v>60</v>
      </c>
      <c r="M35" s="13">
        <f t="shared" si="9"/>
        <v>58.941</v>
      </c>
      <c r="N35" s="220">
        <f ca="1" t="shared" si="11"/>
        <v>60</v>
      </c>
      <c r="O35" s="51">
        <f t="shared" si="10"/>
        <v>0</v>
      </c>
      <c r="P35" s="1" t="s">
        <v>2437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</row>
    <row r="36" spans="2:47" s="3" customFormat="1" ht="36" customHeight="1">
      <c r="B36" s="31">
        <v>42772</v>
      </c>
      <c r="C36" s="1" t="s">
        <v>2436</v>
      </c>
      <c r="D36" s="46" t="s">
        <v>2904</v>
      </c>
      <c r="E36" s="26" t="s">
        <v>2438</v>
      </c>
      <c r="F36" s="2" t="s">
        <v>42</v>
      </c>
      <c r="G36" s="2" t="s">
        <v>452</v>
      </c>
      <c r="H36" s="2" t="s">
        <v>437</v>
      </c>
      <c r="I36" s="49">
        <v>3536.46</v>
      </c>
      <c r="J36" s="224">
        <v>46.9</v>
      </c>
      <c r="K36" s="50">
        <f t="shared" si="8"/>
        <v>75.4042643923241</v>
      </c>
      <c r="L36" s="2">
        <v>60</v>
      </c>
      <c r="M36" s="13">
        <f t="shared" si="9"/>
        <v>58.941</v>
      </c>
      <c r="N36" s="220">
        <f ca="1" t="shared" si="11"/>
        <v>60</v>
      </c>
      <c r="O36" s="51">
        <f t="shared" si="10"/>
        <v>0</v>
      </c>
      <c r="P36" s="1" t="s">
        <v>2437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2:47" s="291" customFormat="1" ht="36" customHeight="1">
      <c r="B37" s="323">
        <v>42772</v>
      </c>
      <c r="C37" s="292" t="s">
        <v>2436</v>
      </c>
      <c r="D37" s="309" t="s">
        <v>2907</v>
      </c>
      <c r="E37" s="293" t="s">
        <v>2439</v>
      </c>
      <c r="F37" s="290" t="s">
        <v>42</v>
      </c>
      <c r="G37" s="290" t="s">
        <v>452</v>
      </c>
      <c r="H37" s="290" t="s">
        <v>437</v>
      </c>
      <c r="I37" s="324">
        <v>9414.63</v>
      </c>
      <c r="J37" s="325">
        <v>46.9</v>
      </c>
      <c r="K37" s="326">
        <f t="shared" si="8"/>
        <v>200.73837953091683</v>
      </c>
      <c r="L37" s="290">
        <v>120</v>
      </c>
      <c r="M37" s="294">
        <f t="shared" si="9"/>
        <v>78.45524999999999</v>
      </c>
      <c r="N37" s="327">
        <f ca="1" t="shared" si="11"/>
        <v>60</v>
      </c>
      <c r="O37" s="328">
        <f t="shared" si="10"/>
        <v>4707.315</v>
      </c>
      <c r="P37" s="292" t="s">
        <v>2437</v>
      </c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</row>
    <row r="38" spans="2:47" s="3" customFormat="1" ht="36" customHeight="1">
      <c r="B38" s="31">
        <v>42772</v>
      </c>
      <c r="C38" s="1" t="s">
        <v>2436</v>
      </c>
      <c r="D38" s="46" t="s">
        <v>2905</v>
      </c>
      <c r="E38" s="26" t="s">
        <v>2440</v>
      </c>
      <c r="F38" s="2" t="s">
        <v>42</v>
      </c>
      <c r="G38" s="2" t="s">
        <v>3645</v>
      </c>
      <c r="H38" s="2" t="s">
        <v>437</v>
      </c>
      <c r="I38" s="49">
        <f>1402.5+252.45</f>
        <v>1654.95</v>
      </c>
      <c r="J38" s="224">
        <v>46.9</v>
      </c>
      <c r="K38" s="50">
        <f t="shared" si="8"/>
        <v>35.28678038379531</v>
      </c>
      <c r="L38" s="2">
        <v>60</v>
      </c>
      <c r="M38" s="13">
        <f t="shared" si="9"/>
        <v>27.5825</v>
      </c>
      <c r="N38" s="220">
        <f ca="1" t="shared" si="11"/>
        <v>60</v>
      </c>
      <c r="O38" s="51">
        <f t="shared" si="10"/>
        <v>0</v>
      </c>
      <c r="P38" s="1" t="s">
        <v>2441</v>
      </c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2:47" s="3" customFormat="1" ht="36" customHeight="1">
      <c r="B39" s="31">
        <v>42772</v>
      </c>
      <c r="C39" s="1" t="s">
        <v>2436</v>
      </c>
      <c r="D39" s="46" t="s">
        <v>2906</v>
      </c>
      <c r="E39" s="26" t="s">
        <v>2440</v>
      </c>
      <c r="F39" s="2" t="s">
        <v>42</v>
      </c>
      <c r="G39" s="2" t="s">
        <v>3645</v>
      </c>
      <c r="H39" s="2" t="s">
        <v>437</v>
      </c>
      <c r="I39" s="49">
        <f>1402.5+252.45</f>
        <v>1654.95</v>
      </c>
      <c r="J39" s="224">
        <v>46.9</v>
      </c>
      <c r="K39" s="50">
        <f t="shared" si="8"/>
        <v>35.28678038379531</v>
      </c>
      <c r="L39" s="2">
        <v>60</v>
      </c>
      <c r="M39" s="13">
        <f t="shared" si="9"/>
        <v>27.5825</v>
      </c>
      <c r="N39" s="220">
        <f ca="1" t="shared" si="11"/>
        <v>60</v>
      </c>
      <c r="O39" s="51">
        <f t="shared" si="10"/>
        <v>0</v>
      </c>
      <c r="P39" s="1" t="s">
        <v>2441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</row>
    <row r="40" spans="2:47" s="3" customFormat="1" ht="36" customHeight="1">
      <c r="B40" s="31">
        <v>42772</v>
      </c>
      <c r="C40" s="1" t="s">
        <v>2436</v>
      </c>
      <c r="D40" s="46" t="s">
        <v>2908</v>
      </c>
      <c r="E40" s="26" t="s">
        <v>2442</v>
      </c>
      <c r="F40" s="2" t="s">
        <v>42</v>
      </c>
      <c r="G40" s="2" t="s">
        <v>3645</v>
      </c>
      <c r="H40" s="2" t="s">
        <v>437</v>
      </c>
      <c r="I40" s="49">
        <f>5100+918</f>
        <v>6018</v>
      </c>
      <c r="J40" s="224">
        <v>46.9</v>
      </c>
      <c r="K40" s="50">
        <f t="shared" si="8"/>
        <v>128.31556503198294</v>
      </c>
      <c r="L40" s="2">
        <v>60</v>
      </c>
      <c r="M40" s="13">
        <f t="shared" si="9"/>
        <v>100.3</v>
      </c>
      <c r="N40" s="220">
        <f ca="1" t="shared" si="11"/>
        <v>60</v>
      </c>
      <c r="O40" s="51">
        <f t="shared" si="10"/>
        <v>0</v>
      </c>
      <c r="P40" s="1" t="s">
        <v>2441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</row>
    <row r="41" spans="2:47" s="3" customFormat="1" ht="36" customHeight="1">
      <c r="B41" s="31">
        <v>42772</v>
      </c>
      <c r="C41" s="1" t="s">
        <v>2436</v>
      </c>
      <c r="D41" s="46" t="s">
        <v>2909</v>
      </c>
      <c r="E41" s="26" t="s">
        <v>2443</v>
      </c>
      <c r="F41" s="2" t="s">
        <v>42</v>
      </c>
      <c r="G41" s="2" t="s">
        <v>452</v>
      </c>
      <c r="H41" s="2" t="s">
        <v>437</v>
      </c>
      <c r="I41" s="49">
        <f aca="true" t="shared" si="12" ref="I41:I46">(11100+9000+2700+1200)/6</f>
        <v>4000</v>
      </c>
      <c r="J41" s="224">
        <v>46.9</v>
      </c>
      <c r="K41" s="50">
        <f t="shared" si="8"/>
        <v>85.28784648187633</v>
      </c>
      <c r="L41" s="2">
        <v>120</v>
      </c>
      <c r="M41" s="13">
        <f t="shared" si="9"/>
        <v>33.333333333333336</v>
      </c>
      <c r="N41" s="220">
        <f ca="1" t="shared" si="11"/>
        <v>60</v>
      </c>
      <c r="O41" s="51">
        <f t="shared" si="10"/>
        <v>1999.9999999999998</v>
      </c>
      <c r="P41" s="1" t="s">
        <v>2444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  <row r="42" spans="2:47" s="3" customFormat="1" ht="36" customHeight="1">
      <c r="B42" s="31">
        <v>42772</v>
      </c>
      <c r="C42" s="1" t="s">
        <v>2436</v>
      </c>
      <c r="D42" s="46" t="s">
        <v>2910</v>
      </c>
      <c r="E42" s="26" t="s">
        <v>2443</v>
      </c>
      <c r="F42" s="2" t="s">
        <v>42</v>
      </c>
      <c r="G42" s="2" t="s">
        <v>452</v>
      </c>
      <c r="H42" s="2" t="s">
        <v>437</v>
      </c>
      <c r="I42" s="49">
        <f t="shared" si="12"/>
        <v>4000</v>
      </c>
      <c r="J42" s="224">
        <v>46.9</v>
      </c>
      <c r="K42" s="50">
        <f t="shared" si="8"/>
        <v>85.28784648187633</v>
      </c>
      <c r="L42" s="2">
        <v>120</v>
      </c>
      <c r="M42" s="13">
        <f t="shared" si="9"/>
        <v>33.333333333333336</v>
      </c>
      <c r="N42" s="220">
        <f ca="1" t="shared" si="11"/>
        <v>60</v>
      </c>
      <c r="O42" s="51">
        <f t="shared" si="10"/>
        <v>1999.9999999999998</v>
      </c>
      <c r="P42" s="1" t="s">
        <v>2444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3" spans="2:47" s="3" customFormat="1" ht="36" customHeight="1">
      <c r="B43" s="31">
        <v>42772</v>
      </c>
      <c r="C43" s="1" t="s">
        <v>2436</v>
      </c>
      <c r="D43" s="46" t="s">
        <v>2911</v>
      </c>
      <c r="E43" s="26" t="s">
        <v>2443</v>
      </c>
      <c r="F43" s="2" t="s">
        <v>42</v>
      </c>
      <c r="G43" s="2" t="s">
        <v>452</v>
      </c>
      <c r="H43" s="2" t="s">
        <v>437</v>
      </c>
      <c r="I43" s="49">
        <f t="shared" si="12"/>
        <v>4000</v>
      </c>
      <c r="J43" s="224">
        <v>46.9</v>
      </c>
      <c r="K43" s="50">
        <f t="shared" si="8"/>
        <v>85.28784648187633</v>
      </c>
      <c r="L43" s="2">
        <v>120</v>
      </c>
      <c r="M43" s="13">
        <f t="shared" si="9"/>
        <v>33.333333333333336</v>
      </c>
      <c r="N43" s="220">
        <f ca="1" t="shared" si="11"/>
        <v>60</v>
      </c>
      <c r="O43" s="51">
        <f t="shared" si="10"/>
        <v>1999.9999999999998</v>
      </c>
      <c r="P43" s="1" t="s">
        <v>2444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</row>
    <row r="44" spans="2:47" s="3" customFormat="1" ht="36" customHeight="1">
      <c r="B44" s="31">
        <v>42772</v>
      </c>
      <c r="C44" s="1" t="s">
        <v>2436</v>
      </c>
      <c r="D44" s="46" t="s">
        <v>2912</v>
      </c>
      <c r="E44" s="26" t="s">
        <v>2443</v>
      </c>
      <c r="F44" s="2" t="s">
        <v>42</v>
      </c>
      <c r="G44" s="2" t="s">
        <v>452</v>
      </c>
      <c r="H44" s="2" t="s">
        <v>437</v>
      </c>
      <c r="I44" s="49">
        <f t="shared" si="12"/>
        <v>4000</v>
      </c>
      <c r="J44" s="224">
        <v>46.9</v>
      </c>
      <c r="K44" s="50">
        <f t="shared" si="8"/>
        <v>85.28784648187633</v>
      </c>
      <c r="L44" s="2">
        <v>120</v>
      </c>
      <c r="M44" s="13">
        <f t="shared" si="9"/>
        <v>33.333333333333336</v>
      </c>
      <c r="N44" s="220">
        <f ca="1" t="shared" si="11"/>
        <v>60</v>
      </c>
      <c r="O44" s="51">
        <f t="shared" si="10"/>
        <v>1999.9999999999998</v>
      </c>
      <c r="P44" s="1" t="s">
        <v>2444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</row>
    <row r="45" spans="2:47" s="3" customFormat="1" ht="36" customHeight="1">
      <c r="B45" s="31">
        <v>42772</v>
      </c>
      <c r="C45" s="1" t="s">
        <v>2436</v>
      </c>
      <c r="D45" s="46" t="s">
        <v>2913</v>
      </c>
      <c r="E45" s="26" t="s">
        <v>2443</v>
      </c>
      <c r="F45" s="2" t="s">
        <v>42</v>
      </c>
      <c r="G45" s="2" t="s">
        <v>452</v>
      </c>
      <c r="H45" s="2" t="s">
        <v>437</v>
      </c>
      <c r="I45" s="49">
        <f t="shared" si="12"/>
        <v>4000</v>
      </c>
      <c r="J45" s="224">
        <v>46.9</v>
      </c>
      <c r="K45" s="50">
        <f t="shared" si="8"/>
        <v>85.28784648187633</v>
      </c>
      <c r="L45" s="2">
        <v>120</v>
      </c>
      <c r="M45" s="13">
        <f t="shared" si="9"/>
        <v>33.333333333333336</v>
      </c>
      <c r="N45" s="220">
        <f ca="1" t="shared" si="11"/>
        <v>60</v>
      </c>
      <c r="O45" s="51">
        <f t="shared" si="10"/>
        <v>1999.9999999999998</v>
      </c>
      <c r="P45" s="1" t="s">
        <v>2444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</row>
    <row r="46" spans="2:47" s="3" customFormat="1" ht="36" customHeight="1">
      <c r="B46" s="31">
        <v>42772</v>
      </c>
      <c r="C46" s="1" t="s">
        <v>2436</v>
      </c>
      <c r="D46" s="46" t="s">
        <v>2914</v>
      </c>
      <c r="E46" s="26" t="s">
        <v>2443</v>
      </c>
      <c r="F46" s="2" t="s">
        <v>42</v>
      </c>
      <c r="G46" s="2" t="s">
        <v>452</v>
      </c>
      <c r="H46" s="2" t="s">
        <v>437</v>
      </c>
      <c r="I46" s="49">
        <f t="shared" si="12"/>
        <v>4000</v>
      </c>
      <c r="J46" s="224">
        <v>46.9</v>
      </c>
      <c r="K46" s="50">
        <f t="shared" si="8"/>
        <v>85.28784648187633</v>
      </c>
      <c r="L46" s="2">
        <v>120</v>
      </c>
      <c r="M46" s="13">
        <f t="shared" si="9"/>
        <v>33.333333333333336</v>
      </c>
      <c r="N46" s="220">
        <f ca="1" t="shared" si="11"/>
        <v>60</v>
      </c>
      <c r="O46" s="51">
        <f t="shared" si="10"/>
        <v>1999.9999999999998</v>
      </c>
      <c r="P46" s="1" t="s">
        <v>2444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</row>
    <row r="47" spans="2:47" s="3" customFormat="1" ht="36" customHeight="1">
      <c r="B47" s="31">
        <v>42772</v>
      </c>
      <c r="C47" s="1" t="s">
        <v>2436</v>
      </c>
      <c r="D47" s="46" t="s">
        <v>2915</v>
      </c>
      <c r="E47" s="26" t="s">
        <v>2445</v>
      </c>
      <c r="F47" s="2" t="s">
        <v>42</v>
      </c>
      <c r="G47" s="2" t="s">
        <v>452</v>
      </c>
      <c r="H47" s="2" t="s">
        <v>437</v>
      </c>
      <c r="I47" s="49">
        <v>1106.25</v>
      </c>
      <c r="J47" s="224">
        <v>46.9</v>
      </c>
      <c r="K47" s="50">
        <f t="shared" si="8"/>
        <v>23.587420042643924</v>
      </c>
      <c r="L47" s="2">
        <v>120</v>
      </c>
      <c r="M47" s="13">
        <f t="shared" si="9"/>
        <v>9.21875</v>
      </c>
      <c r="N47" s="220">
        <f ca="1" t="shared" si="11"/>
        <v>60</v>
      </c>
      <c r="O47" s="51">
        <f t="shared" si="10"/>
        <v>553.125</v>
      </c>
      <c r="P47" s="1" t="s">
        <v>2446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2:47" s="3" customFormat="1" ht="36" customHeight="1">
      <c r="B48" s="31">
        <v>42772</v>
      </c>
      <c r="C48" s="1" t="s">
        <v>2436</v>
      </c>
      <c r="D48" s="46" t="s">
        <v>2916</v>
      </c>
      <c r="E48" s="26" t="s">
        <v>2447</v>
      </c>
      <c r="F48" s="2" t="s">
        <v>42</v>
      </c>
      <c r="G48" s="2" t="s">
        <v>452</v>
      </c>
      <c r="H48" s="2" t="s">
        <v>437</v>
      </c>
      <c r="I48" s="49">
        <v>4500</v>
      </c>
      <c r="J48" s="224">
        <v>46.9</v>
      </c>
      <c r="K48" s="50">
        <f t="shared" si="8"/>
        <v>95.94882729211088</v>
      </c>
      <c r="L48" s="2">
        <v>120</v>
      </c>
      <c r="M48" s="13">
        <f t="shared" si="9"/>
        <v>37.5</v>
      </c>
      <c r="N48" s="220">
        <f ca="1" t="shared" si="11"/>
        <v>60</v>
      </c>
      <c r="O48" s="51">
        <f t="shared" si="10"/>
        <v>2250</v>
      </c>
      <c r="P48" s="1" t="s">
        <v>2444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2:47" s="291" customFormat="1" ht="36" customHeight="1">
      <c r="B49" s="323">
        <v>42772</v>
      </c>
      <c r="C49" s="292" t="s">
        <v>2436</v>
      </c>
      <c r="D49" s="309" t="s">
        <v>2917</v>
      </c>
      <c r="E49" s="293" t="s">
        <v>2448</v>
      </c>
      <c r="F49" s="290" t="s">
        <v>42</v>
      </c>
      <c r="G49" s="290" t="s">
        <v>452</v>
      </c>
      <c r="H49" s="290" t="s">
        <v>437</v>
      </c>
      <c r="I49" s="324">
        <v>4945</v>
      </c>
      <c r="J49" s="325">
        <v>46.9</v>
      </c>
      <c r="K49" s="326">
        <f t="shared" si="8"/>
        <v>105.43710021321962</v>
      </c>
      <c r="L49" s="290">
        <v>120</v>
      </c>
      <c r="M49" s="294">
        <f t="shared" si="9"/>
        <v>41.208333333333336</v>
      </c>
      <c r="N49" s="327">
        <f ca="1" t="shared" si="11"/>
        <v>60</v>
      </c>
      <c r="O49" s="328">
        <f t="shared" si="10"/>
        <v>2472.5</v>
      </c>
      <c r="P49" s="292" t="s">
        <v>2444</v>
      </c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</row>
    <row r="50" spans="2:47" s="3" customFormat="1" ht="36" customHeight="1">
      <c r="B50" s="31">
        <v>43783</v>
      </c>
      <c r="C50" s="1" t="s">
        <v>3253</v>
      </c>
      <c r="D50" s="2" t="s">
        <v>3254</v>
      </c>
      <c r="E50" s="26" t="s">
        <v>3255</v>
      </c>
      <c r="F50" s="2" t="s">
        <v>42</v>
      </c>
      <c r="G50" s="2" t="s">
        <v>347</v>
      </c>
      <c r="H50" s="2" t="s">
        <v>437</v>
      </c>
      <c r="I50" s="35">
        <v>2373</v>
      </c>
      <c r="J50" s="35">
        <v>52.7806</v>
      </c>
      <c r="K50" s="32">
        <f>+I50/J50</f>
        <v>44.95970110229895</v>
      </c>
      <c r="L50" s="2">
        <v>36</v>
      </c>
      <c r="M50" s="13">
        <f>IF(AND(I50&lt;&gt;0,L50&lt;&gt;0),I50/L50,0)</f>
        <v>65.91666666666667</v>
      </c>
      <c r="N50" s="220">
        <f ca="1" t="shared" si="11"/>
        <v>26</v>
      </c>
      <c r="O50" s="33">
        <f>IF(OR(I50=0,L50=0,N50=0),0,I50-(M50*N50))</f>
        <v>659.1666666666665</v>
      </c>
      <c r="P50" s="1" t="s">
        <v>3256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2:47" s="3" customFormat="1" ht="6" customHeight="1">
      <c r="B51" s="142"/>
      <c r="C51" s="143"/>
      <c r="D51" s="143"/>
      <c r="E51" s="144"/>
      <c r="F51" s="143"/>
      <c r="G51" s="143"/>
      <c r="H51" s="143"/>
      <c r="I51" s="145"/>
      <c r="J51" s="145"/>
      <c r="K51" s="145"/>
      <c r="L51" s="144"/>
      <c r="M51" s="146"/>
      <c r="N51" s="146"/>
      <c r="O51" s="146"/>
      <c r="P51" s="144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2:24" s="3" customFormat="1" ht="15.75" customHeight="1" thickBot="1">
      <c r="B52" s="147"/>
      <c r="C52" s="148"/>
      <c r="D52" s="678" t="s">
        <v>335</v>
      </c>
      <c r="E52" s="678"/>
      <c r="F52" s="678"/>
      <c r="G52" s="678"/>
      <c r="H52" s="454"/>
      <c r="I52" s="455">
        <f>SUBTOTAL(9,I6:I50)</f>
        <v>3817194.37</v>
      </c>
      <c r="J52" s="456"/>
      <c r="K52" s="455">
        <f>SUBTOTAL(9,K6:K50)</f>
        <v>113653.59910953864</v>
      </c>
      <c r="L52" s="457"/>
      <c r="M52" s="458"/>
      <c r="N52" s="459"/>
      <c r="O52" s="455">
        <f>SUBTOTAL(9,O6:O50)</f>
        <v>29895.314666666665</v>
      </c>
      <c r="P52" s="149"/>
      <c r="T52" s="16"/>
      <c r="U52" s="16"/>
      <c r="V52" s="16"/>
      <c r="W52" s="16"/>
      <c r="X52" s="16"/>
    </row>
    <row r="53" spans="2:24" s="3" customFormat="1" ht="26.25" customHeight="1" thickTop="1">
      <c r="B53" s="150"/>
      <c r="C53" s="151"/>
      <c r="D53" s="151"/>
      <c r="E53" s="693"/>
      <c r="F53" s="694"/>
      <c r="G53" s="694"/>
      <c r="H53" s="152"/>
      <c r="I53" s="153"/>
      <c r="J53" s="5"/>
      <c r="K53" s="154"/>
      <c r="L53" s="6"/>
      <c r="M53" s="27"/>
      <c r="N53" s="28"/>
      <c r="O53" s="155"/>
      <c r="P53" s="156"/>
      <c r="T53" s="16"/>
      <c r="U53" s="16"/>
      <c r="V53" s="16"/>
      <c r="W53" s="16"/>
      <c r="X53" s="16"/>
    </row>
    <row r="54" spans="2:24" s="3" customFormat="1" ht="15.75" thickBot="1">
      <c r="B54" s="157"/>
      <c r="C54" s="158"/>
      <c r="D54" s="158"/>
      <c r="E54" s="4"/>
      <c r="F54" s="159"/>
      <c r="G54" s="159"/>
      <c r="H54" s="159"/>
      <c r="I54" s="160"/>
      <c r="J54" s="27"/>
      <c r="K54" s="28"/>
      <c r="L54" s="7"/>
      <c r="M54" s="8"/>
      <c r="N54" s="9"/>
      <c r="O54" s="161"/>
      <c r="P54" s="162"/>
      <c r="T54" s="16"/>
      <c r="U54" s="16"/>
      <c r="V54" s="16"/>
      <c r="W54" s="16"/>
      <c r="X54" s="16"/>
    </row>
    <row r="55" spans="2:24" s="3" customFormat="1" ht="15">
      <c r="B55" s="157"/>
      <c r="C55" s="159"/>
      <c r="D55" s="159"/>
      <c r="E55" s="4"/>
      <c r="F55" s="695" t="s">
        <v>39</v>
      </c>
      <c r="G55" s="696"/>
      <c r="H55" s="697"/>
      <c r="I55" s="10"/>
      <c r="L55" s="7"/>
      <c r="M55" s="27"/>
      <c r="N55" s="28"/>
      <c r="O55" s="161"/>
      <c r="P55" s="162"/>
      <c r="T55" s="16"/>
      <c r="U55" s="16"/>
      <c r="V55" s="16"/>
      <c r="W55" s="16"/>
      <c r="X55" s="16"/>
    </row>
    <row r="56" spans="2:24" s="3" customFormat="1" ht="26.25" thickBot="1">
      <c r="B56" s="157"/>
      <c r="C56" s="159"/>
      <c r="D56" s="159"/>
      <c r="E56" s="4"/>
      <c r="F56" s="416"/>
      <c r="G56" s="417" t="s">
        <v>40</v>
      </c>
      <c r="H56" s="418" t="s">
        <v>41</v>
      </c>
      <c r="I56" s="11"/>
      <c r="J56" s="16"/>
      <c r="K56" s="11"/>
      <c r="L56" s="7"/>
      <c r="M56" s="8"/>
      <c r="N56" s="9"/>
      <c r="O56" s="161"/>
      <c r="P56" s="162"/>
      <c r="T56" s="16"/>
      <c r="U56" s="16"/>
      <c r="V56" s="16"/>
      <c r="W56" s="16"/>
      <c r="X56" s="16"/>
    </row>
    <row r="57" spans="2:24" s="3" customFormat="1" ht="15.75" customHeight="1">
      <c r="B57" s="157"/>
      <c r="C57" s="163"/>
      <c r="D57" s="163"/>
      <c r="E57" s="164"/>
      <c r="F57" s="428" t="s">
        <v>2449</v>
      </c>
      <c r="G57" s="419">
        <f>SUM(I6:I7)</f>
        <v>13135</v>
      </c>
      <c r="H57" s="420">
        <f>SUM(K6:K7)</f>
        <v>774.4693396226414</v>
      </c>
      <c r="I57" s="165"/>
      <c r="J57" s="166"/>
      <c r="K57" s="165"/>
      <c r="L57" s="166"/>
      <c r="M57" s="166"/>
      <c r="N57" s="166"/>
      <c r="O57" s="161"/>
      <c r="P57" s="162"/>
      <c r="T57" s="16"/>
      <c r="U57" s="16"/>
      <c r="V57" s="16"/>
      <c r="W57" s="16"/>
      <c r="X57" s="16"/>
    </row>
    <row r="58" spans="2:24" s="3" customFormat="1" ht="15.75" customHeight="1">
      <c r="B58" s="157"/>
      <c r="C58" s="163"/>
      <c r="D58" s="163"/>
      <c r="E58" s="164"/>
      <c r="F58" s="429" t="s">
        <v>2450</v>
      </c>
      <c r="G58" s="421">
        <f>SUM(I8:I17)</f>
        <v>125970.67</v>
      </c>
      <c r="H58" s="422">
        <f>SUM(K8:K17)</f>
        <v>6082.6011588604515</v>
      </c>
      <c r="I58" s="165"/>
      <c r="L58" s="166"/>
      <c r="O58" s="161"/>
      <c r="P58" s="162"/>
      <c r="T58" s="16"/>
      <c r="U58" s="16"/>
      <c r="V58" s="16"/>
      <c r="W58" s="16"/>
      <c r="X58" s="16"/>
    </row>
    <row r="59" spans="2:24" s="3" customFormat="1" ht="15.75" customHeight="1">
      <c r="B59" s="157"/>
      <c r="C59" s="163"/>
      <c r="D59" s="163"/>
      <c r="E59" s="164"/>
      <c r="F59" s="429" t="s">
        <v>2451</v>
      </c>
      <c r="G59" s="421">
        <v>0</v>
      </c>
      <c r="H59" s="422">
        <v>0</v>
      </c>
      <c r="O59" s="161"/>
      <c r="P59" s="162"/>
      <c r="T59" s="16"/>
      <c r="U59" s="16"/>
      <c r="V59" s="16"/>
      <c r="W59" s="16"/>
      <c r="X59" s="16"/>
    </row>
    <row r="60" spans="2:24" s="3" customFormat="1" ht="15.75" customHeight="1">
      <c r="B60" s="157"/>
      <c r="C60" s="163"/>
      <c r="D60" s="163"/>
      <c r="E60" s="164"/>
      <c r="F60" s="429" t="s">
        <v>2452</v>
      </c>
      <c r="G60" s="421">
        <v>0</v>
      </c>
      <c r="H60" s="422">
        <v>0</v>
      </c>
      <c r="O60" s="16"/>
      <c r="P60" s="162"/>
      <c r="T60" s="16"/>
      <c r="U60" s="16"/>
      <c r="V60" s="16"/>
      <c r="W60" s="16"/>
      <c r="X60" s="16"/>
    </row>
    <row r="61" spans="2:24" s="3" customFormat="1" ht="15.75" customHeight="1">
      <c r="B61" s="157"/>
      <c r="C61" s="163"/>
      <c r="D61" s="163"/>
      <c r="E61" s="164"/>
      <c r="F61" s="429" t="s">
        <v>616</v>
      </c>
      <c r="G61" s="421">
        <f>SUM(I18:I22)</f>
        <v>2261851.6</v>
      </c>
      <c r="H61" s="422">
        <f>SUM(K18:K22)</f>
        <v>65789.7498545666</v>
      </c>
      <c r="I61" s="160"/>
      <c r="J61" s="73" t="s">
        <v>336</v>
      </c>
      <c r="K61" s="285" t="s">
        <v>816</v>
      </c>
      <c r="L61" s="7"/>
      <c r="M61" s="8"/>
      <c r="N61" s="9"/>
      <c r="O61" s="16"/>
      <c r="P61" s="162"/>
      <c r="T61" s="16"/>
      <c r="U61" s="16"/>
      <c r="V61" s="16"/>
      <c r="W61" s="16"/>
      <c r="X61" s="16"/>
    </row>
    <row r="62" spans="2:24" s="3" customFormat="1" ht="15.75" customHeight="1">
      <c r="B62" s="157"/>
      <c r="C62" s="163"/>
      <c r="D62" s="163"/>
      <c r="E62" s="164"/>
      <c r="F62" s="429" t="s">
        <v>621</v>
      </c>
      <c r="G62" s="421">
        <f>SUM(I23)</f>
        <v>1238989.55</v>
      </c>
      <c r="H62" s="422">
        <f>SUM(K23)</f>
        <v>37006.856332138595</v>
      </c>
      <c r="I62" s="160"/>
      <c r="J62" s="67"/>
      <c r="K62" s="76"/>
      <c r="L62" s="7"/>
      <c r="M62" s="8"/>
      <c r="N62" s="9"/>
      <c r="O62" s="16"/>
      <c r="P62" s="162"/>
      <c r="T62" s="16"/>
      <c r="U62" s="16"/>
      <c r="V62" s="16"/>
      <c r="W62" s="16"/>
      <c r="X62" s="16"/>
    </row>
    <row r="63" spans="2:24" s="3" customFormat="1" ht="15.75" customHeight="1">
      <c r="B63" s="157"/>
      <c r="C63" s="163"/>
      <c r="D63" s="163"/>
      <c r="E63" s="164"/>
      <c r="F63" s="429" t="s">
        <v>622</v>
      </c>
      <c r="G63" s="421">
        <v>0</v>
      </c>
      <c r="H63" s="422">
        <v>0</v>
      </c>
      <c r="I63" s="160"/>
      <c r="J63" s="73" t="s">
        <v>531</v>
      </c>
      <c r="K63" s="286" t="s">
        <v>532</v>
      </c>
      <c r="L63" s="7"/>
      <c r="M63" s="8"/>
      <c r="N63" s="9"/>
      <c r="O63" s="16"/>
      <c r="P63" s="162"/>
      <c r="T63" s="16"/>
      <c r="U63" s="16"/>
      <c r="V63" s="16"/>
      <c r="W63" s="16"/>
      <c r="X63" s="16"/>
    </row>
    <row r="64" spans="2:24" s="3" customFormat="1" ht="15.75" customHeight="1">
      <c r="B64" s="157"/>
      <c r="C64" s="163"/>
      <c r="D64" s="163"/>
      <c r="E64" s="164"/>
      <c r="F64" s="429" t="s">
        <v>623</v>
      </c>
      <c r="G64" s="421">
        <v>0</v>
      </c>
      <c r="H64" s="422">
        <v>0</v>
      </c>
      <c r="I64" s="160"/>
      <c r="J64" s="67"/>
      <c r="K64" s="68"/>
      <c r="L64" s="7"/>
      <c r="M64" s="8"/>
      <c r="N64" s="9"/>
      <c r="O64" s="16"/>
      <c r="P64" s="162"/>
      <c r="T64" s="16"/>
      <c r="U64" s="16"/>
      <c r="V64" s="16"/>
      <c r="W64" s="16"/>
      <c r="X64" s="16"/>
    </row>
    <row r="65" spans="2:24" s="3" customFormat="1" ht="15.75" customHeight="1">
      <c r="B65" s="157"/>
      <c r="C65" s="163"/>
      <c r="D65" s="163"/>
      <c r="E65" s="164"/>
      <c r="F65" s="429" t="s">
        <v>624</v>
      </c>
      <c r="G65" s="421">
        <f>SUM(I24)</f>
        <v>7194</v>
      </c>
      <c r="H65" s="422">
        <f>SUM(K24)</f>
        <v>199.11430943814003</v>
      </c>
      <c r="I65" s="160"/>
      <c r="J65" s="27" t="s">
        <v>815</v>
      </c>
      <c r="K65" s="285" t="s">
        <v>3491</v>
      </c>
      <c r="L65" s="287"/>
      <c r="M65" s="288"/>
      <c r="N65" s="289"/>
      <c r="O65" s="16"/>
      <c r="P65" s="162"/>
      <c r="T65" s="16"/>
      <c r="U65" s="16"/>
      <c r="V65" s="16"/>
      <c r="W65" s="16"/>
      <c r="X65" s="16"/>
    </row>
    <row r="66" spans="2:24" s="3" customFormat="1" ht="15.75" customHeight="1">
      <c r="B66" s="157"/>
      <c r="C66" s="163"/>
      <c r="D66" s="163"/>
      <c r="E66" s="164"/>
      <c r="F66" s="429" t="s">
        <v>625</v>
      </c>
      <c r="G66" s="421">
        <v>0</v>
      </c>
      <c r="H66" s="422">
        <v>0</v>
      </c>
      <c r="O66" s="16"/>
      <c r="P66" s="162"/>
      <c r="T66" s="16"/>
      <c r="U66" s="16"/>
      <c r="V66" s="16"/>
      <c r="W66" s="16"/>
      <c r="X66" s="16"/>
    </row>
    <row r="67" spans="2:24" s="3" customFormat="1" ht="15.75" customHeight="1">
      <c r="B67" s="157"/>
      <c r="C67" s="163"/>
      <c r="D67" s="163"/>
      <c r="E67" s="164"/>
      <c r="F67" s="429" t="s">
        <v>626</v>
      </c>
      <c r="G67" s="421">
        <v>0</v>
      </c>
      <c r="H67" s="422">
        <v>0</v>
      </c>
      <c r="O67" s="16"/>
      <c r="P67" s="162"/>
      <c r="T67" s="16"/>
      <c r="U67" s="16"/>
      <c r="V67" s="16"/>
      <c r="W67" s="16"/>
      <c r="X67" s="16"/>
    </row>
    <row r="68" spans="2:24" s="3" customFormat="1" ht="15.75" customHeight="1">
      <c r="B68" s="157"/>
      <c r="C68" s="163"/>
      <c r="D68" s="163"/>
      <c r="E68" s="164"/>
      <c r="F68" s="429" t="s">
        <v>617</v>
      </c>
      <c r="G68" s="421">
        <f>SUM(I25:I27)</f>
        <v>7199</v>
      </c>
      <c r="H68" s="422">
        <f>SUM(K25:K27)</f>
        <v>184.07057018665301</v>
      </c>
      <c r="O68" s="16"/>
      <c r="P68" s="162"/>
      <c r="T68" s="16"/>
      <c r="U68" s="16"/>
      <c r="V68" s="16"/>
      <c r="W68" s="16"/>
      <c r="X68" s="16"/>
    </row>
    <row r="69" spans="2:24" s="3" customFormat="1" ht="15.75" customHeight="1">
      <c r="B69" s="157"/>
      <c r="C69" s="163"/>
      <c r="D69" s="163"/>
      <c r="E69" s="164"/>
      <c r="F69" s="429" t="s">
        <v>618</v>
      </c>
      <c r="G69" s="421">
        <f>SUM(I28)</f>
        <v>8771.65</v>
      </c>
      <c r="H69" s="422">
        <f>SUM(K28)</f>
        <v>214.62319549792025</v>
      </c>
      <c r="I69" s="165"/>
      <c r="J69" s="16"/>
      <c r="K69" s="16"/>
      <c r="L69" s="16"/>
      <c r="M69" s="16"/>
      <c r="N69" s="16"/>
      <c r="O69" s="16"/>
      <c r="P69" s="162"/>
      <c r="T69" s="16"/>
      <c r="U69" s="16"/>
      <c r="V69" s="16"/>
      <c r="W69" s="16"/>
      <c r="X69" s="16"/>
    </row>
    <row r="70" spans="2:24" s="3" customFormat="1" ht="15.75" customHeight="1">
      <c r="B70" s="157"/>
      <c r="C70" s="163"/>
      <c r="D70" s="163"/>
      <c r="E70" s="164"/>
      <c r="F70" s="429" t="s">
        <v>619</v>
      </c>
      <c r="G70" s="421">
        <f>SUM(I29)</f>
        <v>53100</v>
      </c>
      <c r="H70" s="422">
        <f>SUM(K29)</f>
        <v>1230.3058387395738</v>
      </c>
      <c r="I70" s="265" t="s">
        <v>3723</v>
      </c>
      <c r="J70" s="282"/>
      <c r="K70" s="282"/>
      <c r="L70" s="282"/>
      <c r="M70" s="282"/>
      <c r="N70" s="282"/>
      <c r="O70" s="284"/>
      <c r="P70" s="282"/>
      <c r="T70" s="16"/>
      <c r="U70" s="16"/>
      <c r="V70" s="16"/>
      <c r="W70" s="16"/>
      <c r="X70" s="16"/>
    </row>
    <row r="71" spans="2:24" s="3" customFormat="1" ht="15.75" customHeight="1">
      <c r="B71" s="157"/>
      <c r="C71" s="163"/>
      <c r="D71" s="163"/>
      <c r="E71" s="164"/>
      <c r="F71" s="429" t="s">
        <v>732</v>
      </c>
      <c r="G71" s="421">
        <f>SUM(I30)</f>
        <v>24097.36</v>
      </c>
      <c r="H71" s="422">
        <f>SUM(K30)</f>
        <v>538.0952912620276</v>
      </c>
      <c r="I71" s="283"/>
      <c r="J71" s="282"/>
      <c r="K71" s="282"/>
      <c r="L71" s="282"/>
      <c r="M71" s="282"/>
      <c r="N71" s="282"/>
      <c r="O71" s="284"/>
      <c r="P71" s="282"/>
      <c r="T71" s="16"/>
      <c r="U71" s="16"/>
      <c r="V71" s="16"/>
      <c r="W71" s="16"/>
      <c r="X71" s="16"/>
    </row>
    <row r="72" spans="2:24" s="3" customFormat="1" ht="15.75" customHeight="1">
      <c r="B72" s="157"/>
      <c r="C72" s="163"/>
      <c r="D72" s="163"/>
      <c r="E72" s="164"/>
      <c r="F72" s="429" t="s">
        <v>745</v>
      </c>
      <c r="G72" s="421">
        <v>0</v>
      </c>
      <c r="H72" s="422">
        <v>0</v>
      </c>
      <c r="I72" s="265" t="s">
        <v>3577</v>
      </c>
      <c r="J72" s="282"/>
      <c r="K72" s="282"/>
      <c r="L72" s="282"/>
      <c r="M72" s="282"/>
      <c r="N72" s="282"/>
      <c r="O72" s="284"/>
      <c r="P72" s="282"/>
      <c r="T72" s="16"/>
      <c r="U72" s="16"/>
      <c r="V72" s="16"/>
      <c r="W72" s="16"/>
      <c r="X72" s="16"/>
    </row>
    <row r="73" spans="2:24" s="3" customFormat="1" ht="15.75" customHeight="1">
      <c r="B73" s="157"/>
      <c r="C73" s="163"/>
      <c r="D73" s="163"/>
      <c r="E73" s="164"/>
      <c r="F73" s="429" t="s">
        <v>797</v>
      </c>
      <c r="G73" s="421">
        <f>SUM(I31:I49)</f>
        <v>74512.54000000001</v>
      </c>
      <c r="H73" s="422">
        <f>SUM(K31:K49)</f>
        <v>1588.7535181236674</v>
      </c>
      <c r="I73" s="282"/>
      <c r="J73" s="265" t="s">
        <v>3267</v>
      </c>
      <c r="K73" s="282"/>
      <c r="L73" s="282"/>
      <c r="M73" s="282"/>
      <c r="N73" s="282"/>
      <c r="O73" s="284"/>
      <c r="P73" s="282"/>
      <c r="T73" s="16"/>
      <c r="U73" s="16"/>
      <c r="V73" s="16"/>
      <c r="W73" s="16"/>
      <c r="X73" s="16"/>
    </row>
    <row r="74" spans="2:24" s="3" customFormat="1" ht="15.75" customHeight="1">
      <c r="B74" s="157"/>
      <c r="C74" s="163"/>
      <c r="D74" s="163"/>
      <c r="E74" s="164"/>
      <c r="F74" s="429" t="s">
        <v>818</v>
      </c>
      <c r="G74" s="421">
        <v>0</v>
      </c>
      <c r="H74" s="422">
        <v>0</v>
      </c>
      <c r="I74" s="282"/>
      <c r="J74" s="282"/>
      <c r="K74" s="282"/>
      <c r="L74" s="282"/>
      <c r="M74" s="282"/>
      <c r="N74" s="282"/>
      <c r="O74" s="284"/>
      <c r="P74" s="282"/>
      <c r="T74" s="16"/>
      <c r="U74" s="16"/>
      <c r="V74" s="16"/>
      <c r="W74" s="16"/>
      <c r="X74" s="16"/>
    </row>
    <row r="75" spans="2:24" s="3" customFormat="1" ht="15.75" customHeight="1">
      <c r="B75" s="157"/>
      <c r="C75" s="163"/>
      <c r="D75" s="163"/>
      <c r="E75" s="164"/>
      <c r="F75" s="430" t="s">
        <v>2700</v>
      </c>
      <c r="G75" s="423">
        <f>+I50</f>
        <v>2373</v>
      </c>
      <c r="H75" s="424">
        <f>+K50</f>
        <v>44.95970110229895</v>
      </c>
      <c r="I75" s="265" t="s">
        <v>3513</v>
      </c>
      <c r="J75" s="282"/>
      <c r="K75" s="282"/>
      <c r="L75" s="282"/>
      <c r="M75" s="282"/>
      <c r="N75" s="282"/>
      <c r="O75" s="284"/>
      <c r="P75" s="282"/>
      <c r="T75" s="16"/>
      <c r="U75" s="16"/>
      <c r="V75" s="16"/>
      <c r="W75" s="16"/>
      <c r="X75" s="16"/>
    </row>
    <row r="76" spans="2:24" s="3" customFormat="1" ht="15.75" customHeight="1">
      <c r="B76" s="157"/>
      <c r="C76" s="163"/>
      <c r="D76" s="163"/>
      <c r="E76" s="164"/>
      <c r="F76" s="430" t="s">
        <v>3307</v>
      </c>
      <c r="G76" s="425">
        <f>+I51</f>
        <v>0</v>
      </c>
      <c r="H76" s="424">
        <f>+K51</f>
        <v>0</v>
      </c>
      <c r="I76" s="36"/>
      <c r="J76" s="265" t="s">
        <v>3268</v>
      </c>
      <c r="K76" s="282"/>
      <c r="L76" s="282"/>
      <c r="M76" s="282"/>
      <c r="N76" s="282"/>
      <c r="O76" s="4"/>
      <c r="P76" s="16"/>
      <c r="T76" s="16"/>
      <c r="U76" s="16"/>
      <c r="V76" s="16"/>
      <c r="W76" s="16"/>
      <c r="X76" s="16"/>
    </row>
    <row r="77" spans="2:24" s="3" customFormat="1" ht="15.75" customHeight="1" thickBot="1">
      <c r="B77" s="157"/>
      <c r="C77" s="163"/>
      <c r="D77" s="163"/>
      <c r="E77" s="164"/>
      <c r="F77" s="431" t="s">
        <v>3573</v>
      </c>
      <c r="G77" s="426" t="s">
        <v>374</v>
      </c>
      <c r="H77" s="427" t="s">
        <v>374</v>
      </c>
      <c r="I77" s="36"/>
      <c r="J77" s="265"/>
      <c r="K77" s="282"/>
      <c r="L77" s="282"/>
      <c r="M77" s="282"/>
      <c r="N77" s="282"/>
      <c r="O77" s="4"/>
      <c r="P77" s="16"/>
      <c r="T77" s="16"/>
      <c r="U77" s="16"/>
      <c r="V77" s="16"/>
      <c r="W77" s="16"/>
      <c r="X77" s="16"/>
    </row>
    <row r="78" spans="2:24" s="3" customFormat="1" ht="19.5" customHeight="1" thickBot="1">
      <c r="B78" s="157"/>
      <c r="C78" s="163"/>
      <c r="D78" s="163"/>
      <c r="E78" s="164"/>
      <c r="F78" s="413" t="s">
        <v>345</v>
      </c>
      <c r="G78" s="414">
        <f>SUM(G57:G76)</f>
        <v>3817194.37</v>
      </c>
      <c r="H78" s="415">
        <f>SUM(H57:H76)</f>
        <v>113653.59910953857</v>
      </c>
      <c r="I78" s="16"/>
      <c r="K78" s="16"/>
      <c r="L78" s="16"/>
      <c r="M78" s="16"/>
      <c r="N78" s="16"/>
      <c r="O78" s="4"/>
      <c r="P78" s="16"/>
      <c r="T78" s="16"/>
      <c r="U78" s="16"/>
      <c r="V78" s="16"/>
      <c r="W78" s="16"/>
      <c r="X78" s="16"/>
    </row>
    <row r="79" spans="2:24" s="3" customFormat="1" ht="19.5" customHeight="1">
      <c r="B79" s="157"/>
      <c r="C79" s="163"/>
      <c r="D79" s="163"/>
      <c r="E79" s="164"/>
      <c r="F79" s="216"/>
      <c r="G79" s="217"/>
      <c r="H79" s="217"/>
      <c r="I79" s="165"/>
      <c r="J79" s="16"/>
      <c r="K79" s="16"/>
      <c r="L79" s="16"/>
      <c r="M79" s="16"/>
      <c r="N79" s="16"/>
      <c r="O79" s="16"/>
      <c r="P79" s="162"/>
      <c r="T79" s="16"/>
      <c r="U79" s="16"/>
      <c r="V79" s="16"/>
      <c r="W79" s="16"/>
      <c r="X79" s="16"/>
    </row>
    <row r="80" spans="2:24" s="3" customFormat="1" ht="19.5" customHeight="1">
      <c r="B80" s="157"/>
      <c r="C80" s="163"/>
      <c r="D80" s="163"/>
      <c r="E80" s="164"/>
      <c r="F80" s="216"/>
      <c r="G80" s="217"/>
      <c r="H80" s="217"/>
      <c r="I80" s="165"/>
      <c r="J80" s="16"/>
      <c r="K80" s="16"/>
      <c r="L80" s="16"/>
      <c r="M80" s="16"/>
      <c r="N80" s="16"/>
      <c r="O80" s="16"/>
      <c r="P80" s="162"/>
      <c r="T80" s="16"/>
      <c r="U80" s="16"/>
      <c r="V80" s="16"/>
      <c r="W80" s="16"/>
      <c r="X80" s="16"/>
    </row>
    <row r="81" spans="2:24" s="3" customFormat="1" ht="12.75">
      <c r="B81" s="157"/>
      <c r="C81" s="159"/>
      <c r="D81" s="159"/>
      <c r="E81" s="4"/>
      <c r="F81" s="167"/>
      <c r="G81" s="168"/>
      <c r="H81" s="168"/>
      <c r="I81" s="169"/>
      <c r="J81" s="16"/>
      <c r="K81" s="16"/>
      <c r="L81" s="16"/>
      <c r="M81" s="16"/>
      <c r="N81" s="16"/>
      <c r="O81" s="16"/>
      <c r="P81" s="162"/>
      <c r="T81" s="16"/>
      <c r="U81" s="16"/>
      <c r="V81" s="16"/>
      <c r="W81" s="16"/>
      <c r="X81" s="16"/>
    </row>
    <row r="82" spans="2:24" s="3" customFormat="1" ht="12" customHeight="1">
      <c r="B82" s="170"/>
      <c r="C82" s="171"/>
      <c r="D82" s="171"/>
      <c r="E82" s="172"/>
      <c r="F82" s="173"/>
      <c r="G82" s="174"/>
      <c r="H82" s="174"/>
      <c r="I82" s="175"/>
      <c r="J82" s="176"/>
      <c r="K82" s="176"/>
      <c r="L82" s="176"/>
      <c r="M82" s="176"/>
      <c r="N82" s="176"/>
      <c r="O82" s="176"/>
      <c r="P82" s="177"/>
      <c r="T82" s="16"/>
      <c r="U82" s="16"/>
      <c r="V82" s="16"/>
      <c r="W82" s="16"/>
      <c r="X82" s="16"/>
    </row>
    <row r="83" spans="2:24" s="181" customFormat="1" ht="17.25" customHeight="1">
      <c r="B83" s="513" t="s">
        <v>334</v>
      </c>
      <c r="C83" s="178"/>
      <c r="D83" s="178"/>
      <c r="E83" s="179"/>
      <c r="F83" s="180"/>
      <c r="G83" s="684" t="s">
        <v>511</v>
      </c>
      <c r="H83" s="684"/>
      <c r="I83" s="110"/>
      <c r="J83" s="684" t="s">
        <v>65</v>
      </c>
      <c r="K83" s="684"/>
      <c r="L83" s="684"/>
      <c r="M83" s="684"/>
      <c r="N83" s="111"/>
      <c r="O83" s="684" t="s">
        <v>65</v>
      </c>
      <c r="P83" s="685"/>
      <c r="T83" s="182"/>
      <c r="U83" s="182"/>
      <c r="V83" s="182"/>
      <c r="W83" s="182"/>
      <c r="X83" s="182"/>
    </row>
    <row r="84" spans="2:24" s="3" customFormat="1" ht="12.75">
      <c r="B84" s="157"/>
      <c r="C84" s="159"/>
      <c r="D84" s="159"/>
      <c r="E84" s="4"/>
      <c r="F84" s="167"/>
      <c r="G84" s="83"/>
      <c r="H84" s="83"/>
      <c r="I84" s="80"/>
      <c r="J84" s="39"/>
      <c r="K84" s="39"/>
      <c r="L84" s="39"/>
      <c r="M84" s="83"/>
      <c r="N84" s="39"/>
      <c r="O84" s="39"/>
      <c r="P84" s="69"/>
      <c r="T84" s="16"/>
      <c r="U84" s="16"/>
      <c r="V84" s="16"/>
      <c r="W84" s="16"/>
      <c r="X84" s="16"/>
    </row>
    <row r="85" spans="2:24" s="3" customFormat="1" ht="12.75">
      <c r="B85" s="157"/>
      <c r="C85" s="159"/>
      <c r="D85" s="159"/>
      <c r="E85" s="4"/>
      <c r="F85" s="167"/>
      <c r="G85" s="83"/>
      <c r="H85" s="83"/>
      <c r="I85" s="80"/>
      <c r="J85" s="39"/>
      <c r="K85" s="39"/>
      <c r="L85" s="39"/>
      <c r="M85" s="83"/>
      <c r="N85" s="39"/>
      <c r="O85" s="39"/>
      <c r="P85" s="69"/>
      <c r="T85" s="16"/>
      <c r="U85" s="16"/>
      <c r="V85" s="16"/>
      <c r="W85" s="16"/>
      <c r="X85" s="16"/>
    </row>
    <row r="86" spans="1:24" s="3" customFormat="1" ht="12.75">
      <c r="A86" s="24"/>
      <c r="B86" s="515" t="s">
        <v>3746</v>
      </c>
      <c r="C86" s="159"/>
      <c r="D86" s="159"/>
      <c r="E86" s="4"/>
      <c r="F86" s="167"/>
      <c r="G86" s="95"/>
      <c r="H86" s="95"/>
      <c r="I86" s="80"/>
      <c r="J86" s="97"/>
      <c r="K86" s="97"/>
      <c r="L86" s="97"/>
      <c r="M86" s="95"/>
      <c r="N86" s="39"/>
      <c r="O86" s="97"/>
      <c r="P86" s="98"/>
      <c r="T86" s="16"/>
      <c r="U86" s="16"/>
      <c r="V86" s="16"/>
      <c r="W86" s="16"/>
      <c r="X86" s="16"/>
    </row>
    <row r="87" spans="2:24" s="186" customFormat="1" ht="15">
      <c r="B87" s="514" t="s">
        <v>3738</v>
      </c>
      <c r="C87" s="30"/>
      <c r="D87" s="30"/>
      <c r="E87" s="185"/>
      <c r="F87" s="185"/>
      <c r="G87" s="686" t="s">
        <v>639</v>
      </c>
      <c r="H87" s="686"/>
      <c r="I87" s="120"/>
      <c r="J87" s="686" t="s">
        <v>3501</v>
      </c>
      <c r="K87" s="686"/>
      <c r="L87" s="686"/>
      <c r="M87" s="686"/>
      <c r="N87" s="118"/>
      <c r="O87" s="686" t="s">
        <v>2610</v>
      </c>
      <c r="P87" s="687"/>
      <c r="T87" s="187"/>
      <c r="U87" s="187"/>
      <c r="V87" s="187"/>
      <c r="W87" s="187"/>
      <c r="X87" s="187"/>
    </row>
    <row r="88" spans="2:24" s="3" customFormat="1" ht="14.25">
      <c r="B88" s="504" t="s">
        <v>3502</v>
      </c>
      <c r="C88" s="29"/>
      <c r="D88" s="29"/>
      <c r="E88" s="188"/>
      <c r="F88" s="188"/>
      <c r="G88" s="679" t="s">
        <v>640</v>
      </c>
      <c r="H88" s="679"/>
      <c r="I88" s="247"/>
      <c r="J88" s="679" t="s">
        <v>3511</v>
      </c>
      <c r="K88" s="679"/>
      <c r="L88" s="679"/>
      <c r="M88" s="679"/>
      <c r="N88" s="467"/>
      <c r="O88" s="691" t="s">
        <v>510</v>
      </c>
      <c r="P88" s="692"/>
      <c r="T88" s="16"/>
      <c r="U88" s="16"/>
      <c r="V88" s="16"/>
      <c r="W88" s="16"/>
      <c r="X88" s="16"/>
    </row>
    <row r="89" spans="2:24" s="3" customFormat="1" ht="12.75">
      <c r="B89" s="503" t="s">
        <v>3736</v>
      </c>
      <c r="C89" s="183"/>
      <c r="D89" s="183"/>
      <c r="E89" s="184"/>
      <c r="F89" s="189"/>
      <c r="G89" s="190"/>
      <c r="H89" s="191"/>
      <c r="I89" s="192"/>
      <c r="J89" s="193"/>
      <c r="K89" s="193"/>
      <c r="L89" s="193"/>
      <c r="M89" s="193"/>
      <c r="N89" s="193"/>
      <c r="O89" s="193"/>
      <c r="P89" s="194"/>
      <c r="T89" s="16"/>
      <c r="U89" s="16"/>
      <c r="V89" s="16"/>
      <c r="W89" s="16"/>
      <c r="X89" s="16"/>
    </row>
    <row r="91" ht="12.75">
      <c r="G91" s="198"/>
    </row>
    <row r="93" ht="12.75">
      <c r="G93" s="199"/>
    </row>
    <row r="97" spans="1:47" s="197" customFormat="1" ht="12.75">
      <c r="A97" s="195"/>
      <c r="B97" s="196"/>
      <c r="C97" s="196"/>
      <c r="D97" s="196"/>
      <c r="E97" s="200"/>
      <c r="G97" s="196"/>
      <c r="H97" s="196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</row>
  </sheetData>
  <sheetProtection/>
  <mergeCells count="12">
    <mergeCell ref="D52:G52"/>
    <mergeCell ref="J87:M87"/>
    <mergeCell ref="O87:P87"/>
    <mergeCell ref="G88:H88"/>
    <mergeCell ref="J88:M88"/>
    <mergeCell ref="O88:P88"/>
    <mergeCell ref="E53:G53"/>
    <mergeCell ref="F55:H55"/>
    <mergeCell ref="G83:H83"/>
    <mergeCell ref="J83:M83"/>
    <mergeCell ref="O83:P83"/>
    <mergeCell ref="G87:H87"/>
  </mergeCells>
  <printOptions horizontalCentered="1" verticalCentered="1"/>
  <pageMargins left="0.31496062992125984" right="0.2362204724409449" top="0.2755905511811024" bottom="0.5511811023622047" header="0.2362204724409449" footer="0.35433070866141736"/>
  <pageSetup orientation="landscape" scale="70" r:id="rId2"/>
  <headerFooter alignWithMargins="0">
    <oddHeader>&amp;R
</oddHeader>
    <oddFooter>&amp;C&amp;"Arial,Negrita"Pág. &amp;P - 5</oddFooter>
  </headerFooter>
  <rowBreaks count="4" manualBreakCount="4">
    <brk id="14" min="1" max="15" man="1"/>
    <brk id="25" min="1" max="15" man="1"/>
    <brk id="38" min="1" max="15" man="1"/>
    <brk id="53" min="1" max="15" man="1"/>
  </rowBreaks>
  <ignoredErrors>
    <ignoredError sqref="G78:H78 G57:H76" formulaRange="1"/>
    <ignoredError sqref="K6:K8 I52 K9:K52 I25:I27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AU572"/>
  <sheetViews>
    <sheetView zoomScale="98" zoomScaleNormal="98" zoomScalePageLayoutView="0" workbookViewId="0" topLeftCell="A457">
      <pane xSplit="3" topLeftCell="E1" activePane="topRight" state="frozen"/>
      <selection pane="topLeft" activeCell="A373" sqref="A373"/>
      <selection pane="topRight" activeCell="Q570" sqref="Q570"/>
    </sheetView>
  </sheetViews>
  <sheetFormatPr defaultColWidth="11.421875" defaultRowHeight="12.75"/>
  <cols>
    <col min="1" max="1" width="1.28515625" style="122" customWidth="1"/>
    <col min="2" max="2" width="9.57421875" style="122" customWidth="1"/>
    <col min="3" max="3" width="9.421875" style="122" customWidth="1"/>
    <col min="4" max="4" width="10.7109375" style="122" customWidth="1"/>
    <col min="5" max="5" width="22.00390625" style="122" customWidth="1"/>
    <col min="6" max="6" width="16.8515625" style="123" customWidth="1"/>
    <col min="7" max="7" width="16.28125" style="125" customWidth="1"/>
    <col min="8" max="8" width="14.7109375" style="125" customWidth="1"/>
    <col min="9" max="9" width="14.57421875" style="122" customWidth="1"/>
    <col min="10" max="10" width="6.8515625" style="122" customWidth="1"/>
    <col min="11" max="11" width="12.28125" style="122" customWidth="1"/>
    <col min="12" max="12" width="6.28125" style="122" customWidth="1"/>
    <col min="13" max="13" width="10.8515625" style="122" customWidth="1"/>
    <col min="14" max="14" width="5.8515625" style="122" customWidth="1"/>
    <col min="15" max="15" width="13.57421875" style="122" customWidth="1"/>
    <col min="16" max="16" width="14.00390625" style="122" customWidth="1"/>
    <col min="17" max="16384" width="11.421875" style="122" customWidth="1"/>
  </cols>
  <sheetData>
    <row r="2" spans="3:47" s="37" customFormat="1" ht="24.75" customHeight="1">
      <c r="C2" s="38"/>
      <c r="D2" s="255" t="s">
        <v>3506</v>
      </c>
      <c r="E2" s="26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3:47" s="37" customFormat="1" ht="21.75" customHeight="1">
      <c r="C3" s="38"/>
      <c r="D3" s="252" t="s">
        <v>3741</v>
      </c>
      <c r="E3" s="264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3:47" s="37" customFormat="1" ht="21.75" customHeight="1">
      <c r="C4" s="40"/>
      <c r="D4" s="249" t="s">
        <v>3722</v>
      </c>
      <c r="E4" s="264"/>
      <c r="F4" s="261"/>
      <c r="G4" s="261"/>
      <c r="H4" s="261"/>
      <c r="I4" s="40"/>
      <c r="J4" s="40"/>
      <c r="K4" s="40"/>
      <c r="L4" s="40"/>
      <c r="M4" s="40"/>
      <c r="N4" s="40"/>
      <c r="O4" s="40"/>
      <c r="P4" s="40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</row>
    <row r="5" spans="3:47" s="37" customFormat="1" ht="9.75" customHeight="1">
      <c r="C5" s="41"/>
      <c r="D5" s="280"/>
      <c r="E5" s="280"/>
      <c r="F5" s="280"/>
      <c r="G5" s="280"/>
      <c r="H5" s="280"/>
      <c r="I5" s="41"/>
      <c r="J5" s="41"/>
      <c r="K5" s="41"/>
      <c r="L5" s="41"/>
      <c r="M5" s="41"/>
      <c r="N5" s="41"/>
      <c r="O5" s="41"/>
      <c r="P5" s="41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</row>
    <row r="6" spans="2:47" s="43" customFormat="1" ht="59.25" customHeight="1">
      <c r="B6" s="435" t="s">
        <v>43</v>
      </c>
      <c r="C6" s="435" t="s">
        <v>1942</v>
      </c>
      <c r="D6" s="435" t="s">
        <v>1940</v>
      </c>
      <c r="E6" s="435" t="s">
        <v>44</v>
      </c>
      <c r="F6" s="435" t="s">
        <v>45</v>
      </c>
      <c r="G6" s="435" t="s">
        <v>3717</v>
      </c>
      <c r="H6" s="493" t="s">
        <v>1941</v>
      </c>
      <c r="I6" s="435" t="s">
        <v>54</v>
      </c>
      <c r="J6" s="435" t="s">
        <v>55</v>
      </c>
      <c r="K6" s="494" t="s">
        <v>3742</v>
      </c>
      <c r="L6" s="494" t="s">
        <v>57</v>
      </c>
      <c r="M6" s="495" t="s">
        <v>3743</v>
      </c>
      <c r="N6" s="495" t="s">
        <v>59</v>
      </c>
      <c r="O6" s="435" t="s">
        <v>60</v>
      </c>
      <c r="P6" s="435" t="s">
        <v>61</v>
      </c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2:47" s="37" customFormat="1" ht="91.5" customHeight="1">
      <c r="B7" s="564">
        <v>42265</v>
      </c>
      <c r="C7" s="565" t="s">
        <v>3257</v>
      </c>
      <c r="D7" s="566" t="s">
        <v>1943</v>
      </c>
      <c r="E7" s="352" t="s">
        <v>1944</v>
      </c>
      <c r="F7" s="566" t="s">
        <v>1945</v>
      </c>
      <c r="G7" s="341" t="s">
        <v>3474</v>
      </c>
      <c r="H7" s="566" t="s">
        <v>437</v>
      </c>
      <c r="I7" s="353">
        <v>42530</v>
      </c>
      <c r="J7" s="353">
        <v>45.1408</v>
      </c>
      <c r="K7" s="354">
        <f aca="true" t="shared" si="0" ref="K7:K27">+I7/J7</f>
        <v>942.1631871832135</v>
      </c>
      <c r="L7" s="565">
        <v>120</v>
      </c>
      <c r="M7" s="567">
        <f>IF(AND(I7&lt;&gt;0,L7&lt;&gt;0),I7/L7,0)</f>
        <v>354.4166666666667</v>
      </c>
      <c r="N7" s="568">
        <f ca="1">IF(B7&lt;&gt;0,(ROUND((NOW()-B7)/30,0)),0)</f>
        <v>77</v>
      </c>
      <c r="O7" s="348">
        <f aca="true" t="shared" si="1" ref="O7:O27">IF(OR(I7=0,L7=0,N7=0),0,I7-(M7*N7))</f>
        <v>15239.916666666664</v>
      </c>
      <c r="P7" s="565" t="s">
        <v>746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</row>
    <row r="8" spans="2:47" s="37" customFormat="1" ht="33" customHeight="1">
      <c r="B8" s="564">
        <v>42275</v>
      </c>
      <c r="C8" s="565" t="s">
        <v>3258</v>
      </c>
      <c r="D8" s="566" t="s">
        <v>1946</v>
      </c>
      <c r="E8" s="352" t="s">
        <v>673</v>
      </c>
      <c r="F8" s="566" t="s">
        <v>2637</v>
      </c>
      <c r="G8" s="341" t="s">
        <v>3839</v>
      </c>
      <c r="H8" s="566" t="s">
        <v>437</v>
      </c>
      <c r="I8" s="353">
        <v>25224.41</v>
      </c>
      <c r="J8" s="353">
        <v>45.1723</v>
      </c>
      <c r="K8" s="354">
        <f t="shared" si="0"/>
        <v>558.4043761331612</v>
      </c>
      <c r="L8" s="565">
        <v>120</v>
      </c>
      <c r="M8" s="567">
        <f>IF(AND(I8&lt;&gt;0,L8&lt;&gt;0),I8/L8,0)</f>
        <v>210.20341666666667</v>
      </c>
      <c r="N8" s="568">
        <f ca="1">IF(B8&lt;&gt;0,(ROUND((NOW()-B8)/30,0)),0)</f>
        <v>76</v>
      </c>
      <c r="O8" s="348">
        <f t="shared" si="1"/>
        <v>9248.950333333332</v>
      </c>
      <c r="P8" s="565" t="s">
        <v>675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2:47" s="37" customFormat="1" ht="51.75" customHeight="1">
      <c r="B9" s="564">
        <v>42275</v>
      </c>
      <c r="C9" s="565" t="s">
        <v>3259</v>
      </c>
      <c r="D9" s="566" t="s">
        <v>1947</v>
      </c>
      <c r="E9" s="352" t="s">
        <v>3775</v>
      </c>
      <c r="F9" s="566" t="s">
        <v>1948</v>
      </c>
      <c r="G9" s="566" t="s">
        <v>3588</v>
      </c>
      <c r="H9" s="566" t="s">
        <v>437</v>
      </c>
      <c r="I9" s="353">
        <v>27376</v>
      </c>
      <c r="J9" s="353">
        <v>45.1723</v>
      </c>
      <c r="K9" s="354">
        <f t="shared" si="0"/>
        <v>606.0351144396012</v>
      </c>
      <c r="L9" s="565">
        <v>120</v>
      </c>
      <c r="M9" s="567">
        <f aca="true" t="shared" si="2" ref="M9:M27">IF(AND(I9&lt;&gt;0,L9&lt;&gt;0),I9/L9,0)</f>
        <v>228.13333333333333</v>
      </c>
      <c r="N9" s="568">
        <f aca="true" ca="1" t="shared" si="3" ref="N9:N27">IF(B9&lt;&gt;0,(ROUND((NOW()-B9)/30,0)),0)</f>
        <v>76</v>
      </c>
      <c r="O9" s="348">
        <f t="shared" si="1"/>
        <v>10037.866666666669</v>
      </c>
      <c r="P9" s="565" t="s">
        <v>1949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</row>
    <row r="10" spans="2:47" s="37" customFormat="1" ht="52.5" customHeight="1">
      <c r="B10" s="564">
        <v>42277</v>
      </c>
      <c r="C10" s="565" t="s">
        <v>3260</v>
      </c>
      <c r="D10" s="566" t="s">
        <v>1951</v>
      </c>
      <c r="E10" s="352" t="s">
        <v>1952</v>
      </c>
      <c r="F10" s="566" t="s">
        <v>42</v>
      </c>
      <c r="G10" s="566" t="s">
        <v>3589</v>
      </c>
      <c r="H10" s="566" t="s">
        <v>437</v>
      </c>
      <c r="I10" s="353">
        <f>7650+1377</f>
        <v>9027</v>
      </c>
      <c r="J10" s="353">
        <v>45.174</v>
      </c>
      <c r="K10" s="354">
        <f t="shared" si="0"/>
        <v>199.82733430734493</v>
      </c>
      <c r="L10" s="565">
        <v>120</v>
      </c>
      <c r="M10" s="567">
        <f t="shared" si="2"/>
        <v>75.225</v>
      </c>
      <c r="N10" s="568">
        <f ca="1" t="shared" si="3"/>
        <v>76</v>
      </c>
      <c r="O10" s="348">
        <f t="shared" si="1"/>
        <v>3309.9000000000005</v>
      </c>
      <c r="P10" s="565" t="s">
        <v>1953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</row>
    <row r="11" spans="2:47" s="37" customFormat="1" ht="74.25" customHeight="1">
      <c r="B11" s="564">
        <v>42277</v>
      </c>
      <c r="C11" s="565" t="s">
        <v>3260</v>
      </c>
      <c r="D11" s="566" t="s">
        <v>1954</v>
      </c>
      <c r="E11" s="352" t="s">
        <v>1955</v>
      </c>
      <c r="F11" s="566" t="s">
        <v>42</v>
      </c>
      <c r="G11" s="566" t="s">
        <v>3580</v>
      </c>
      <c r="H11" s="566" t="s">
        <v>437</v>
      </c>
      <c r="I11" s="353">
        <f>33220+5979.6</f>
        <v>39199.6</v>
      </c>
      <c r="J11" s="353">
        <v>45.174</v>
      </c>
      <c r="K11" s="354">
        <f t="shared" si="0"/>
        <v>867.746934077124</v>
      </c>
      <c r="L11" s="565">
        <v>120</v>
      </c>
      <c r="M11" s="567">
        <f t="shared" si="2"/>
        <v>326.6633333333333</v>
      </c>
      <c r="N11" s="568">
        <f ca="1" t="shared" si="3"/>
        <v>76</v>
      </c>
      <c r="O11" s="348">
        <f t="shared" si="1"/>
        <v>14373.186666666668</v>
      </c>
      <c r="P11" s="565" t="s">
        <v>1953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</row>
    <row r="12" spans="2:47" s="37" customFormat="1" ht="48" customHeight="1">
      <c r="B12" s="564">
        <v>42277</v>
      </c>
      <c r="C12" s="565" t="s">
        <v>1950</v>
      </c>
      <c r="D12" s="566" t="s">
        <v>1956</v>
      </c>
      <c r="E12" s="352" t="s">
        <v>1957</v>
      </c>
      <c r="F12" s="566" t="s">
        <v>42</v>
      </c>
      <c r="G12" s="566" t="s">
        <v>821</v>
      </c>
      <c r="H12" s="566" t="s">
        <v>744</v>
      </c>
      <c r="I12" s="353">
        <f>12306+2215.08</f>
        <v>14521.08</v>
      </c>
      <c r="J12" s="353">
        <v>45.174</v>
      </c>
      <c r="K12" s="354">
        <f t="shared" si="0"/>
        <v>321.44773542303096</v>
      </c>
      <c r="L12" s="565">
        <v>120</v>
      </c>
      <c r="M12" s="567">
        <f t="shared" si="2"/>
        <v>121.009</v>
      </c>
      <c r="N12" s="568">
        <f ca="1" t="shared" si="3"/>
        <v>76</v>
      </c>
      <c r="O12" s="348">
        <f t="shared" si="1"/>
        <v>5324.396000000001</v>
      </c>
      <c r="P12" s="565" t="s">
        <v>1953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</row>
    <row r="13" spans="2:47" s="37" customFormat="1" ht="39" customHeight="1">
      <c r="B13" s="564">
        <v>42277</v>
      </c>
      <c r="C13" s="565" t="s">
        <v>3260</v>
      </c>
      <c r="D13" s="566" t="s">
        <v>1958</v>
      </c>
      <c r="E13" s="352" t="s">
        <v>1957</v>
      </c>
      <c r="F13" s="566" t="s">
        <v>42</v>
      </c>
      <c r="G13" s="566" t="s">
        <v>3581</v>
      </c>
      <c r="H13" s="566" t="s">
        <v>437</v>
      </c>
      <c r="I13" s="353">
        <f>8883+1598.94</f>
        <v>10481.94</v>
      </c>
      <c r="J13" s="353">
        <v>45.174</v>
      </c>
      <c r="K13" s="354">
        <f t="shared" si="0"/>
        <v>232.0347987780582</v>
      </c>
      <c r="L13" s="565">
        <v>120</v>
      </c>
      <c r="M13" s="567">
        <f t="shared" si="2"/>
        <v>87.3495</v>
      </c>
      <c r="N13" s="568">
        <f ca="1" t="shared" si="3"/>
        <v>76</v>
      </c>
      <c r="O13" s="348">
        <f t="shared" si="1"/>
        <v>3843.3779999999997</v>
      </c>
      <c r="P13" s="565" t="s">
        <v>1953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</row>
    <row r="14" spans="2:47" s="37" customFormat="1" ht="92.25" customHeight="1">
      <c r="B14" s="564">
        <v>42277</v>
      </c>
      <c r="C14" s="565" t="s">
        <v>3261</v>
      </c>
      <c r="D14" s="566" t="s">
        <v>1959</v>
      </c>
      <c r="E14" s="352" t="s">
        <v>1960</v>
      </c>
      <c r="F14" s="566" t="s">
        <v>3475</v>
      </c>
      <c r="G14" s="341" t="s">
        <v>81</v>
      </c>
      <c r="H14" s="566" t="s">
        <v>437</v>
      </c>
      <c r="I14" s="353">
        <f>103840+47790</f>
        <v>151630</v>
      </c>
      <c r="J14" s="353">
        <v>45.174</v>
      </c>
      <c r="K14" s="354">
        <f t="shared" si="0"/>
        <v>3356.576791959977</v>
      </c>
      <c r="L14" s="565">
        <v>120</v>
      </c>
      <c r="M14" s="567">
        <f t="shared" si="2"/>
        <v>1263.5833333333333</v>
      </c>
      <c r="N14" s="568">
        <f ca="1" t="shared" si="3"/>
        <v>76</v>
      </c>
      <c r="O14" s="348">
        <f t="shared" si="1"/>
        <v>55597.66666666667</v>
      </c>
      <c r="P14" s="565" t="s">
        <v>1961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</row>
    <row r="15" spans="2:47" s="37" customFormat="1" ht="50.25" customHeight="1">
      <c r="B15" s="564">
        <v>42277</v>
      </c>
      <c r="C15" s="565" t="s">
        <v>3261</v>
      </c>
      <c r="D15" s="566" t="s">
        <v>1962</v>
      </c>
      <c r="E15" s="352" t="s">
        <v>1963</v>
      </c>
      <c r="F15" s="566" t="s">
        <v>42</v>
      </c>
      <c r="G15" s="341" t="s">
        <v>81</v>
      </c>
      <c r="H15" s="566" t="s">
        <v>437</v>
      </c>
      <c r="I15" s="353">
        <v>172638.72</v>
      </c>
      <c r="J15" s="353">
        <v>45.174</v>
      </c>
      <c r="K15" s="354">
        <f t="shared" si="0"/>
        <v>3821.6389958825876</v>
      </c>
      <c r="L15" s="565">
        <v>120</v>
      </c>
      <c r="M15" s="567">
        <f t="shared" si="2"/>
        <v>1438.656</v>
      </c>
      <c r="N15" s="568">
        <f ca="1" t="shared" si="3"/>
        <v>76</v>
      </c>
      <c r="O15" s="348">
        <f t="shared" si="1"/>
        <v>63300.864</v>
      </c>
      <c r="P15" s="565" t="s">
        <v>1961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</row>
    <row r="16" spans="2:47" s="37" customFormat="1" ht="50.25" customHeight="1">
      <c r="B16" s="564">
        <v>42277</v>
      </c>
      <c r="C16" s="565" t="s">
        <v>3261</v>
      </c>
      <c r="D16" s="566" t="s">
        <v>1964</v>
      </c>
      <c r="E16" s="352" t="s">
        <v>1965</v>
      </c>
      <c r="F16" s="566" t="s">
        <v>42</v>
      </c>
      <c r="G16" s="341" t="s">
        <v>81</v>
      </c>
      <c r="H16" s="566" t="s">
        <v>437</v>
      </c>
      <c r="I16" s="353">
        <v>236118</v>
      </c>
      <c r="J16" s="353">
        <v>45.174</v>
      </c>
      <c r="K16" s="354">
        <f t="shared" si="0"/>
        <v>5226.856156196042</v>
      </c>
      <c r="L16" s="565">
        <v>120</v>
      </c>
      <c r="M16" s="567">
        <f t="shared" si="2"/>
        <v>1967.65</v>
      </c>
      <c r="N16" s="568">
        <f ca="1" t="shared" si="3"/>
        <v>76</v>
      </c>
      <c r="O16" s="348">
        <f t="shared" si="1"/>
        <v>86576.6</v>
      </c>
      <c r="P16" s="565" t="s">
        <v>1961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</row>
    <row r="17" spans="2:47" s="37" customFormat="1" ht="50.25" customHeight="1">
      <c r="B17" s="564">
        <v>42341</v>
      </c>
      <c r="C17" s="565" t="s">
        <v>3262</v>
      </c>
      <c r="D17" s="566" t="s">
        <v>1969</v>
      </c>
      <c r="E17" s="352" t="s">
        <v>1970</v>
      </c>
      <c r="F17" s="566" t="s">
        <v>1971</v>
      </c>
      <c r="G17" s="341" t="s">
        <v>2638</v>
      </c>
      <c r="H17" s="566" t="s">
        <v>437</v>
      </c>
      <c r="I17" s="353">
        <f>37944.92+6830.09</f>
        <v>44775.009999999995</v>
      </c>
      <c r="J17" s="353">
        <v>45.3416</v>
      </c>
      <c r="K17" s="354">
        <f t="shared" si="0"/>
        <v>987.5039698643187</v>
      </c>
      <c r="L17" s="565">
        <v>120</v>
      </c>
      <c r="M17" s="567">
        <f t="shared" si="2"/>
        <v>373.1250833333333</v>
      </c>
      <c r="N17" s="568">
        <f ca="1" t="shared" si="3"/>
        <v>74</v>
      </c>
      <c r="O17" s="348">
        <f t="shared" si="1"/>
        <v>17163.753833333332</v>
      </c>
      <c r="P17" s="565" t="s">
        <v>746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</row>
    <row r="18" spans="2:47" s="37" customFormat="1" ht="39.75" customHeight="1">
      <c r="B18" s="564">
        <v>42341</v>
      </c>
      <c r="C18" s="565" t="s">
        <v>3262</v>
      </c>
      <c r="D18" s="566" t="s">
        <v>1972</v>
      </c>
      <c r="E18" s="352" t="s">
        <v>1970</v>
      </c>
      <c r="F18" s="566" t="s">
        <v>1973</v>
      </c>
      <c r="G18" s="341" t="s">
        <v>2638</v>
      </c>
      <c r="H18" s="566" t="s">
        <v>437</v>
      </c>
      <c r="I18" s="353">
        <f>37944.92+6830.08</f>
        <v>44775</v>
      </c>
      <c r="J18" s="353">
        <v>45.3416</v>
      </c>
      <c r="K18" s="354">
        <f t="shared" si="0"/>
        <v>987.5037493163012</v>
      </c>
      <c r="L18" s="565">
        <v>120</v>
      </c>
      <c r="M18" s="567">
        <f t="shared" si="2"/>
        <v>373.125</v>
      </c>
      <c r="N18" s="568">
        <f ca="1" t="shared" si="3"/>
        <v>74</v>
      </c>
      <c r="O18" s="348">
        <f t="shared" si="1"/>
        <v>17163.75</v>
      </c>
      <c r="P18" s="565" t="s">
        <v>746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</row>
    <row r="19" spans="2:47" s="37" customFormat="1" ht="45.75" customHeight="1">
      <c r="B19" s="564">
        <v>42341</v>
      </c>
      <c r="C19" s="565" t="s">
        <v>3263</v>
      </c>
      <c r="D19" s="566" t="s">
        <v>1966</v>
      </c>
      <c r="E19" s="352" t="s">
        <v>1967</v>
      </c>
      <c r="F19" s="566" t="s">
        <v>1968</v>
      </c>
      <c r="G19" s="341" t="s">
        <v>3590</v>
      </c>
      <c r="H19" s="566" t="s">
        <v>437</v>
      </c>
      <c r="I19" s="353">
        <v>59100.22</v>
      </c>
      <c r="J19" s="353">
        <v>45.3416</v>
      </c>
      <c r="K19" s="354">
        <f>+I19/J19</f>
        <v>1303.443636748593</v>
      </c>
      <c r="L19" s="565">
        <v>120</v>
      </c>
      <c r="M19" s="567">
        <f>IF(AND(I19&lt;&gt;0,L19&lt;&gt;0),I19/L19,0)</f>
        <v>492.50183333333337</v>
      </c>
      <c r="N19" s="568">
        <f ca="1">IF(B19&lt;&gt;0,(ROUND((NOW()-B19)/30,0)),0)</f>
        <v>74</v>
      </c>
      <c r="O19" s="348">
        <f>IF(OR(I19=0,L19=0,N19=0),0,I19-(M19*N19))</f>
        <v>22655.084333333332</v>
      </c>
      <c r="P19" s="565" t="s">
        <v>193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</row>
    <row r="20" spans="2:47" s="37" customFormat="1" ht="63" customHeight="1">
      <c r="B20" s="564">
        <v>42342</v>
      </c>
      <c r="C20" s="565" t="s">
        <v>3264</v>
      </c>
      <c r="D20" s="566" t="s">
        <v>1974</v>
      </c>
      <c r="E20" s="352" t="s">
        <v>1975</v>
      </c>
      <c r="F20" s="566" t="s">
        <v>42</v>
      </c>
      <c r="G20" s="341" t="s">
        <v>81</v>
      </c>
      <c r="H20" s="566" t="s">
        <v>437</v>
      </c>
      <c r="I20" s="353">
        <v>133091.35</v>
      </c>
      <c r="J20" s="353">
        <v>45.3469</v>
      </c>
      <c r="K20" s="354">
        <f t="shared" si="0"/>
        <v>2934.9602729183252</v>
      </c>
      <c r="L20" s="565">
        <v>120</v>
      </c>
      <c r="M20" s="567">
        <f t="shared" si="2"/>
        <v>1109.0945833333333</v>
      </c>
      <c r="N20" s="568">
        <f ca="1" t="shared" si="3"/>
        <v>74</v>
      </c>
      <c r="O20" s="348">
        <f t="shared" si="1"/>
        <v>51018.350833333345</v>
      </c>
      <c r="P20" s="565" t="s">
        <v>1976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</row>
    <row r="21" spans="2:47" s="37" customFormat="1" ht="45" customHeight="1">
      <c r="B21" s="564">
        <v>42342</v>
      </c>
      <c r="C21" s="565" t="s">
        <v>3264</v>
      </c>
      <c r="D21" s="566" t="s">
        <v>1977</v>
      </c>
      <c r="E21" s="352" t="s">
        <v>1978</v>
      </c>
      <c r="F21" s="566" t="s">
        <v>1979</v>
      </c>
      <c r="G21" s="341" t="s">
        <v>81</v>
      </c>
      <c r="H21" s="566" t="s">
        <v>437</v>
      </c>
      <c r="I21" s="353">
        <v>54412.18</v>
      </c>
      <c r="J21" s="353">
        <v>45.3469</v>
      </c>
      <c r="K21" s="354">
        <f t="shared" si="0"/>
        <v>1199.909585881284</v>
      </c>
      <c r="L21" s="565">
        <v>120</v>
      </c>
      <c r="M21" s="567">
        <f t="shared" si="2"/>
        <v>453.43483333333336</v>
      </c>
      <c r="N21" s="568">
        <f ca="1" t="shared" si="3"/>
        <v>74</v>
      </c>
      <c r="O21" s="348">
        <f t="shared" si="1"/>
        <v>20858.00233333333</v>
      </c>
      <c r="P21" s="565" t="s">
        <v>1976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</row>
    <row r="22" spans="2:47" s="37" customFormat="1" ht="41.25" customHeight="1">
      <c r="B22" s="564">
        <v>42342</v>
      </c>
      <c r="C22" s="565" t="s">
        <v>3265</v>
      </c>
      <c r="D22" s="566" t="s">
        <v>1980</v>
      </c>
      <c r="E22" s="352" t="s">
        <v>1981</v>
      </c>
      <c r="F22" s="566" t="s">
        <v>1982</v>
      </c>
      <c r="G22" s="566" t="s">
        <v>3591</v>
      </c>
      <c r="H22" s="566" t="s">
        <v>437</v>
      </c>
      <c r="I22" s="353">
        <v>10897.6</v>
      </c>
      <c r="J22" s="353">
        <v>45.3469</v>
      </c>
      <c r="K22" s="354">
        <f t="shared" si="0"/>
        <v>240.31631710216135</v>
      </c>
      <c r="L22" s="565">
        <v>120</v>
      </c>
      <c r="M22" s="567">
        <f t="shared" si="2"/>
        <v>90.81333333333333</v>
      </c>
      <c r="N22" s="568">
        <f ca="1" t="shared" si="3"/>
        <v>74</v>
      </c>
      <c r="O22" s="348">
        <f t="shared" si="1"/>
        <v>4177.413333333334</v>
      </c>
      <c r="P22" s="565" t="s">
        <v>1983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</row>
    <row r="23" spans="2:47" s="37" customFormat="1" ht="42" customHeight="1">
      <c r="B23" s="564">
        <v>42359</v>
      </c>
      <c r="C23" s="565" t="s">
        <v>3266</v>
      </c>
      <c r="D23" s="566" t="s">
        <v>1984</v>
      </c>
      <c r="E23" s="352" t="s">
        <v>1985</v>
      </c>
      <c r="F23" s="566" t="s">
        <v>42</v>
      </c>
      <c r="G23" s="566" t="s">
        <v>737</v>
      </c>
      <c r="H23" s="566" t="s">
        <v>437</v>
      </c>
      <c r="I23" s="353">
        <f>9950+1791</f>
        <v>11741</v>
      </c>
      <c r="J23" s="353">
        <v>45.4817</v>
      </c>
      <c r="K23" s="354">
        <f t="shared" si="0"/>
        <v>258.14778251472575</v>
      </c>
      <c r="L23" s="565">
        <v>120</v>
      </c>
      <c r="M23" s="567">
        <f t="shared" si="2"/>
        <v>97.84166666666667</v>
      </c>
      <c r="N23" s="568">
        <f ca="1" t="shared" si="3"/>
        <v>74</v>
      </c>
      <c r="O23" s="348">
        <f t="shared" si="1"/>
        <v>4500.716666666666</v>
      </c>
      <c r="P23" s="565" t="s">
        <v>1953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</row>
    <row r="24" spans="2:47" s="37" customFormat="1" ht="42" customHeight="1">
      <c r="B24" s="564">
        <v>42359</v>
      </c>
      <c r="C24" s="565" t="s">
        <v>3266</v>
      </c>
      <c r="D24" s="566" t="s">
        <v>1986</v>
      </c>
      <c r="E24" s="352" t="s">
        <v>1987</v>
      </c>
      <c r="F24" s="566" t="s">
        <v>42</v>
      </c>
      <c r="G24" s="341" t="s">
        <v>3011</v>
      </c>
      <c r="H24" s="566" t="s">
        <v>437</v>
      </c>
      <c r="I24" s="353">
        <f>4295+773.1</f>
        <v>5068.1</v>
      </c>
      <c r="J24" s="353">
        <v>45.4817</v>
      </c>
      <c r="K24" s="354">
        <f t="shared" si="0"/>
        <v>111.43163074379368</v>
      </c>
      <c r="L24" s="565">
        <v>120</v>
      </c>
      <c r="M24" s="567">
        <f t="shared" si="2"/>
        <v>42.23416666666667</v>
      </c>
      <c r="N24" s="568">
        <f ca="1" t="shared" si="3"/>
        <v>74</v>
      </c>
      <c r="O24" s="348">
        <f t="shared" si="1"/>
        <v>1942.771666666667</v>
      </c>
      <c r="P24" s="565" t="s">
        <v>1953</v>
      </c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</row>
    <row r="25" spans="2:47" s="37" customFormat="1" ht="39.75" customHeight="1">
      <c r="B25" s="564">
        <v>42359</v>
      </c>
      <c r="C25" s="565" t="s">
        <v>3266</v>
      </c>
      <c r="D25" s="566" t="s">
        <v>1988</v>
      </c>
      <c r="E25" s="352" t="s">
        <v>1989</v>
      </c>
      <c r="F25" s="566" t="s">
        <v>42</v>
      </c>
      <c r="G25" s="341" t="s">
        <v>3011</v>
      </c>
      <c r="H25" s="566" t="s">
        <v>437</v>
      </c>
      <c r="I25" s="353">
        <f>3209+577.62</f>
        <v>3786.62</v>
      </c>
      <c r="J25" s="353">
        <v>45.4817</v>
      </c>
      <c r="K25" s="354">
        <f t="shared" si="0"/>
        <v>83.25590292359345</v>
      </c>
      <c r="L25" s="565">
        <v>120</v>
      </c>
      <c r="M25" s="567">
        <f t="shared" si="2"/>
        <v>31.555166666666665</v>
      </c>
      <c r="N25" s="568">
        <f ca="1" t="shared" si="3"/>
        <v>74</v>
      </c>
      <c r="O25" s="348">
        <f t="shared" si="1"/>
        <v>1451.5376666666666</v>
      </c>
      <c r="P25" s="565" t="s">
        <v>1953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</row>
    <row r="26" spans="2:47" s="37" customFormat="1" ht="40.5" customHeight="1">
      <c r="B26" s="564">
        <v>42359</v>
      </c>
      <c r="C26" s="565" t="s">
        <v>3266</v>
      </c>
      <c r="D26" s="566" t="s">
        <v>1990</v>
      </c>
      <c r="E26" s="352" t="s">
        <v>1989</v>
      </c>
      <c r="F26" s="566" t="s">
        <v>42</v>
      </c>
      <c r="G26" s="341" t="s">
        <v>3011</v>
      </c>
      <c r="H26" s="566" t="s">
        <v>437</v>
      </c>
      <c r="I26" s="353">
        <f>3209+577.62</f>
        <v>3786.62</v>
      </c>
      <c r="J26" s="353">
        <v>45.4817</v>
      </c>
      <c r="K26" s="354">
        <f t="shared" si="0"/>
        <v>83.25590292359345</v>
      </c>
      <c r="L26" s="565">
        <v>120</v>
      </c>
      <c r="M26" s="567">
        <f t="shared" si="2"/>
        <v>31.555166666666665</v>
      </c>
      <c r="N26" s="568">
        <f ca="1" t="shared" si="3"/>
        <v>74</v>
      </c>
      <c r="O26" s="348">
        <f t="shared" si="1"/>
        <v>1451.5376666666666</v>
      </c>
      <c r="P26" s="565" t="s">
        <v>1953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</row>
    <row r="27" spans="2:47" s="37" customFormat="1" ht="48.75" customHeight="1">
      <c r="B27" s="564">
        <v>42359</v>
      </c>
      <c r="C27" s="565" t="s">
        <v>3266</v>
      </c>
      <c r="D27" s="566" t="s">
        <v>1991</v>
      </c>
      <c r="E27" s="352" t="s">
        <v>3773</v>
      </c>
      <c r="F27" s="566" t="s">
        <v>42</v>
      </c>
      <c r="G27" s="566" t="s">
        <v>2319</v>
      </c>
      <c r="H27" s="566" t="s">
        <v>437</v>
      </c>
      <c r="I27" s="353">
        <f>4760+856.8</f>
        <v>5616.8</v>
      </c>
      <c r="J27" s="353">
        <v>45.4817</v>
      </c>
      <c r="K27" s="354">
        <f t="shared" si="0"/>
        <v>123.49582359498437</v>
      </c>
      <c r="L27" s="565">
        <v>120</v>
      </c>
      <c r="M27" s="567">
        <f t="shared" si="2"/>
        <v>46.806666666666665</v>
      </c>
      <c r="N27" s="568">
        <f ca="1" t="shared" si="3"/>
        <v>74</v>
      </c>
      <c r="O27" s="348">
        <f t="shared" si="1"/>
        <v>2153.106666666667</v>
      </c>
      <c r="P27" s="565" t="s">
        <v>1953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</row>
    <row r="28" spans="2:46" s="3" customFormat="1" ht="60">
      <c r="B28" s="355">
        <v>42949</v>
      </c>
      <c r="C28" s="340" t="s">
        <v>1992</v>
      </c>
      <c r="D28" s="341" t="s">
        <v>2720</v>
      </c>
      <c r="E28" s="339" t="s">
        <v>1993</v>
      </c>
      <c r="F28" s="341" t="s">
        <v>1994</v>
      </c>
      <c r="G28" s="566" t="s">
        <v>449</v>
      </c>
      <c r="H28" s="341" t="s">
        <v>437</v>
      </c>
      <c r="I28" s="353">
        <f>9860+1774.8</f>
        <v>11634.8</v>
      </c>
      <c r="J28" s="353">
        <v>47.4369</v>
      </c>
      <c r="K28" s="354">
        <f>+I28/J28</f>
        <v>245.26897836915984</v>
      </c>
      <c r="L28" s="341">
        <v>60</v>
      </c>
      <c r="M28" s="343">
        <f>IF(AND(I28&lt;&gt;0,L28&lt;&gt;0),I28/L28,0)</f>
        <v>193.91333333333333</v>
      </c>
      <c r="N28" s="344">
        <f ca="1">IF(B28&lt;&gt;0,(ROUND((NOW()-B28)/30,0)),0)</f>
        <v>54</v>
      </c>
      <c r="O28" s="348">
        <f>IF(OR(I28=0,L28=0,N28=0),0,I28-(M28*N28))</f>
        <v>1163.4799999999996</v>
      </c>
      <c r="P28" s="340" t="s">
        <v>1953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</row>
    <row r="29" spans="2:46" s="3" customFormat="1" ht="60">
      <c r="B29" s="355">
        <v>42949</v>
      </c>
      <c r="C29" s="340" t="s">
        <v>1992</v>
      </c>
      <c r="D29" s="341" t="s">
        <v>2721</v>
      </c>
      <c r="E29" s="339" t="s">
        <v>3774</v>
      </c>
      <c r="F29" s="341" t="s">
        <v>1995</v>
      </c>
      <c r="G29" s="341" t="s">
        <v>340</v>
      </c>
      <c r="H29" s="341" t="s">
        <v>437</v>
      </c>
      <c r="I29" s="353">
        <f>9860+1774.8</f>
        <v>11634.8</v>
      </c>
      <c r="J29" s="353">
        <v>47.4369</v>
      </c>
      <c r="K29" s="354">
        <f>+I29/J29</f>
        <v>245.26897836915984</v>
      </c>
      <c r="L29" s="341">
        <v>60</v>
      </c>
      <c r="M29" s="343">
        <f>IF(AND(I29&lt;&gt;0,L29&lt;&gt;0),I29/L29,0)</f>
        <v>193.91333333333333</v>
      </c>
      <c r="N29" s="344">
        <f ca="1">IF(B29&lt;&gt;0,(ROUND((NOW()-B29)/30,0)),0)</f>
        <v>54</v>
      </c>
      <c r="O29" s="348">
        <f>IF(OR(I29=0,L29=0,N29=0),0,I29-(M29*N29))</f>
        <v>1163.4799999999996</v>
      </c>
      <c r="P29" s="340" t="s">
        <v>1953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</row>
    <row r="30" spans="2:46" s="3" customFormat="1" ht="39" customHeight="1">
      <c r="B30" s="355">
        <v>42949</v>
      </c>
      <c r="C30" s="340" t="s">
        <v>1996</v>
      </c>
      <c r="D30" s="341" t="s">
        <v>2722</v>
      </c>
      <c r="E30" s="339" t="s">
        <v>1997</v>
      </c>
      <c r="F30" s="341" t="s">
        <v>1998</v>
      </c>
      <c r="G30" s="566" t="s">
        <v>3581</v>
      </c>
      <c r="H30" s="341" t="s">
        <v>437</v>
      </c>
      <c r="I30" s="353">
        <v>29252.85</v>
      </c>
      <c r="J30" s="353">
        <v>47.4369</v>
      </c>
      <c r="K30" s="354">
        <f>+I30/J30</f>
        <v>616.6686693270428</v>
      </c>
      <c r="L30" s="341">
        <v>36</v>
      </c>
      <c r="M30" s="343">
        <f>IF(AND(I30&lt;&gt;0,L30&lt;&gt;0),I30/L30,0)</f>
        <v>812.5791666666667</v>
      </c>
      <c r="N30" s="344">
        <f ca="1">IF(B30&lt;&gt;0,(ROUND((NOW()-B30)/30,0)),0)</f>
        <v>54</v>
      </c>
      <c r="O30" s="348">
        <f>IF(OR(I30=0,L30=0,N30=0),0,I30-(M30*N30))</f>
        <v>-14626.425000000003</v>
      </c>
      <c r="P30" s="340" t="s">
        <v>1999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</row>
    <row r="31" spans="2:46" s="3" customFormat="1" ht="64.5" customHeight="1">
      <c r="B31" s="355">
        <v>42972</v>
      </c>
      <c r="C31" s="340" t="s">
        <v>2000</v>
      </c>
      <c r="D31" s="341" t="s">
        <v>2723</v>
      </c>
      <c r="E31" s="339" t="s">
        <v>2001</v>
      </c>
      <c r="F31" s="341">
        <v>2541936</v>
      </c>
      <c r="G31" s="341" t="s">
        <v>2639</v>
      </c>
      <c r="H31" s="341" t="s">
        <v>437</v>
      </c>
      <c r="I31" s="353">
        <f>55910+5920+2670+4392+9265+14068.26+2040</f>
        <v>94265.26</v>
      </c>
      <c r="J31" s="353">
        <v>47.5009</v>
      </c>
      <c r="K31" s="354">
        <f>+I31/J31</f>
        <v>1984.4941885311646</v>
      </c>
      <c r="L31" s="341">
        <v>120</v>
      </c>
      <c r="M31" s="343">
        <f>IF(AND(I31&lt;&gt;0,L31&lt;&gt;0),I31/L31,0)</f>
        <v>785.5438333333333</v>
      </c>
      <c r="N31" s="344">
        <f ca="1">IF(B31&lt;&gt;0,(ROUND((NOW()-B31)/30,0)),0)</f>
        <v>53</v>
      </c>
      <c r="O31" s="348">
        <f>IF(OR(I31=0,L31=0,N31=0),0,I31-(M31*N31))</f>
        <v>52631.43683333333</v>
      </c>
      <c r="P31" s="340" t="s">
        <v>2002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</row>
    <row r="32" spans="2:46" s="3" customFormat="1" ht="54" customHeight="1">
      <c r="B32" s="355">
        <v>42972</v>
      </c>
      <c r="C32" s="340" t="s">
        <v>2000</v>
      </c>
      <c r="D32" s="341" t="s">
        <v>2724</v>
      </c>
      <c r="E32" s="339" t="s">
        <v>2003</v>
      </c>
      <c r="F32" s="341">
        <v>97737</v>
      </c>
      <c r="G32" s="341" t="s">
        <v>2639</v>
      </c>
      <c r="H32" s="341" t="s">
        <v>437</v>
      </c>
      <c r="I32" s="353">
        <f>43200+7776</f>
        <v>50976</v>
      </c>
      <c r="J32" s="353">
        <v>47.5009</v>
      </c>
      <c r="K32" s="354">
        <f aca="true" t="shared" si="4" ref="K32:K91">+I32/J32</f>
        <v>1073.1586138367904</v>
      </c>
      <c r="L32" s="341">
        <v>120</v>
      </c>
      <c r="M32" s="343">
        <f aca="true" t="shared" si="5" ref="M32:M91">IF(AND(I32&lt;&gt;0,L32&lt;&gt;0),I32/L32,0)</f>
        <v>424.8</v>
      </c>
      <c r="N32" s="344">
        <f aca="true" ca="1" t="shared" si="6" ref="N32:N91">IF(B32&lt;&gt;0,(ROUND((NOW()-B32)/30,0)),0)</f>
        <v>53</v>
      </c>
      <c r="O32" s="348">
        <f aca="true" t="shared" si="7" ref="O32:O91">IF(OR(I32=0,L32=0,N32=0),0,I32-(M32*N32))</f>
        <v>28461.6</v>
      </c>
      <c r="P32" s="340" t="s">
        <v>2002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</row>
    <row r="33" spans="2:46" s="3" customFormat="1" ht="51.75" customHeight="1">
      <c r="B33" s="355">
        <v>43004</v>
      </c>
      <c r="C33" s="340" t="s">
        <v>2004</v>
      </c>
      <c r="D33" s="341" t="s">
        <v>2725</v>
      </c>
      <c r="E33" s="339" t="s">
        <v>3423</v>
      </c>
      <c r="F33" s="341" t="s">
        <v>3424</v>
      </c>
      <c r="G33" s="341" t="s">
        <v>3580</v>
      </c>
      <c r="H33" s="341" t="s">
        <v>437</v>
      </c>
      <c r="I33" s="353">
        <v>104488.89</v>
      </c>
      <c r="J33" s="353">
        <v>47.6025</v>
      </c>
      <c r="K33" s="354">
        <f t="shared" si="4"/>
        <v>2195.0294627383014</v>
      </c>
      <c r="L33" s="341">
        <v>60</v>
      </c>
      <c r="M33" s="343">
        <f t="shared" si="5"/>
        <v>1741.4815</v>
      </c>
      <c r="N33" s="344">
        <f ca="1" t="shared" si="6"/>
        <v>52</v>
      </c>
      <c r="O33" s="348">
        <f t="shared" si="7"/>
        <v>13931.851999999999</v>
      </c>
      <c r="P33" s="340" t="s">
        <v>796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</row>
    <row r="34" spans="2:46" s="3" customFormat="1" ht="48.75" customHeight="1">
      <c r="B34" s="355">
        <v>43004</v>
      </c>
      <c r="C34" s="340" t="s">
        <v>2004</v>
      </c>
      <c r="D34" s="341" t="s">
        <v>2726</v>
      </c>
      <c r="E34" s="339" t="s">
        <v>2310</v>
      </c>
      <c r="F34" s="341" t="s">
        <v>2005</v>
      </c>
      <c r="G34" s="341" t="s">
        <v>3592</v>
      </c>
      <c r="H34" s="341" t="s">
        <v>437</v>
      </c>
      <c r="I34" s="353">
        <v>58447.13</v>
      </c>
      <c r="J34" s="353">
        <v>47.6025</v>
      </c>
      <c r="K34" s="354">
        <f t="shared" si="4"/>
        <v>1227.8163961976786</v>
      </c>
      <c r="L34" s="341">
        <v>60</v>
      </c>
      <c r="M34" s="343">
        <f t="shared" si="5"/>
        <v>974.1188333333333</v>
      </c>
      <c r="N34" s="344">
        <f ca="1" t="shared" si="6"/>
        <v>52</v>
      </c>
      <c r="O34" s="348">
        <f t="shared" si="7"/>
        <v>7792.950666666664</v>
      </c>
      <c r="P34" s="340" t="s">
        <v>796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</row>
    <row r="35" spans="2:46" s="3" customFormat="1" ht="50.25" customHeight="1">
      <c r="B35" s="355">
        <v>43004</v>
      </c>
      <c r="C35" s="340" t="s">
        <v>2004</v>
      </c>
      <c r="D35" s="341" t="s">
        <v>2727</v>
      </c>
      <c r="E35" s="339" t="s">
        <v>2310</v>
      </c>
      <c r="F35" s="341" t="s">
        <v>2006</v>
      </c>
      <c r="G35" s="341" t="s">
        <v>2640</v>
      </c>
      <c r="H35" s="341" t="s">
        <v>437</v>
      </c>
      <c r="I35" s="353">
        <v>58447.13</v>
      </c>
      <c r="J35" s="353">
        <v>47.6025</v>
      </c>
      <c r="K35" s="354">
        <f t="shared" si="4"/>
        <v>1227.8163961976786</v>
      </c>
      <c r="L35" s="341">
        <v>60</v>
      </c>
      <c r="M35" s="343">
        <f t="shared" si="5"/>
        <v>974.1188333333333</v>
      </c>
      <c r="N35" s="344">
        <f ca="1" t="shared" si="6"/>
        <v>52</v>
      </c>
      <c r="O35" s="348">
        <f t="shared" si="7"/>
        <v>7792.950666666664</v>
      </c>
      <c r="P35" s="340" t="s">
        <v>796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</row>
    <row r="36" spans="2:46" s="3" customFormat="1" ht="50.25" customHeight="1">
      <c r="B36" s="355">
        <v>43004</v>
      </c>
      <c r="C36" s="340" t="s">
        <v>2004</v>
      </c>
      <c r="D36" s="341" t="s">
        <v>2728</v>
      </c>
      <c r="E36" s="339" t="s">
        <v>2310</v>
      </c>
      <c r="F36" s="341" t="s">
        <v>2007</v>
      </c>
      <c r="G36" s="341" t="s">
        <v>3418</v>
      </c>
      <c r="H36" s="341" t="s">
        <v>437</v>
      </c>
      <c r="I36" s="353">
        <v>58447.13</v>
      </c>
      <c r="J36" s="353">
        <v>47.6025</v>
      </c>
      <c r="K36" s="354">
        <f t="shared" si="4"/>
        <v>1227.8163961976786</v>
      </c>
      <c r="L36" s="341">
        <v>60</v>
      </c>
      <c r="M36" s="343">
        <f t="shared" si="5"/>
        <v>974.1188333333333</v>
      </c>
      <c r="N36" s="344">
        <f ca="1" t="shared" si="6"/>
        <v>52</v>
      </c>
      <c r="O36" s="348">
        <f t="shared" si="7"/>
        <v>7792.950666666664</v>
      </c>
      <c r="P36" s="340" t="s">
        <v>796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</row>
    <row r="37" spans="2:46" s="3" customFormat="1" ht="50.25" customHeight="1">
      <c r="B37" s="355">
        <v>43004</v>
      </c>
      <c r="C37" s="340" t="s">
        <v>2004</v>
      </c>
      <c r="D37" s="341" t="s">
        <v>2729</v>
      </c>
      <c r="E37" s="339" t="s">
        <v>2310</v>
      </c>
      <c r="F37" s="341" t="s">
        <v>2008</v>
      </c>
      <c r="G37" s="341" t="s">
        <v>3413</v>
      </c>
      <c r="H37" s="341" t="s">
        <v>437</v>
      </c>
      <c r="I37" s="353">
        <v>58447.13</v>
      </c>
      <c r="J37" s="353">
        <v>47.6025</v>
      </c>
      <c r="K37" s="354">
        <f t="shared" si="4"/>
        <v>1227.8163961976786</v>
      </c>
      <c r="L37" s="341">
        <v>60</v>
      </c>
      <c r="M37" s="343">
        <f t="shared" si="5"/>
        <v>974.1188333333333</v>
      </c>
      <c r="N37" s="344">
        <f ca="1" t="shared" si="6"/>
        <v>52</v>
      </c>
      <c r="O37" s="348">
        <f t="shared" si="7"/>
        <v>7792.950666666664</v>
      </c>
      <c r="P37" s="340" t="s">
        <v>796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</row>
    <row r="38" spans="2:46" s="3" customFormat="1" ht="51.75" customHeight="1">
      <c r="B38" s="355">
        <v>43004</v>
      </c>
      <c r="C38" s="340" t="s">
        <v>2004</v>
      </c>
      <c r="D38" s="341" t="s">
        <v>2730</v>
      </c>
      <c r="E38" s="339" t="s">
        <v>2310</v>
      </c>
      <c r="F38" s="341" t="s">
        <v>2009</v>
      </c>
      <c r="G38" s="341" t="s">
        <v>3419</v>
      </c>
      <c r="H38" s="341" t="s">
        <v>437</v>
      </c>
      <c r="I38" s="353">
        <v>58447.13</v>
      </c>
      <c r="J38" s="353">
        <v>47.6025</v>
      </c>
      <c r="K38" s="354">
        <f t="shared" si="4"/>
        <v>1227.8163961976786</v>
      </c>
      <c r="L38" s="341">
        <v>60</v>
      </c>
      <c r="M38" s="343">
        <f t="shared" si="5"/>
        <v>974.1188333333333</v>
      </c>
      <c r="N38" s="344">
        <f ca="1" t="shared" si="6"/>
        <v>52</v>
      </c>
      <c r="O38" s="348">
        <f t="shared" si="7"/>
        <v>7792.950666666664</v>
      </c>
      <c r="P38" s="340" t="s">
        <v>796</v>
      </c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</row>
    <row r="39" spans="2:46" s="3" customFormat="1" ht="53.25" customHeight="1">
      <c r="B39" s="355">
        <v>43004</v>
      </c>
      <c r="C39" s="340" t="s">
        <v>2004</v>
      </c>
      <c r="D39" s="341" t="s">
        <v>2731</v>
      </c>
      <c r="E39" s="339" t="s">
        <v>2310</v>
      </c>
      <c r="F39" s="341" t="s">
        <v>3426</v>
      </c>
      <c r="G39" s="341" t="s">
        <v>3412</v>
      </c>
      <c r="H39" s="341" t="s">
        <v>437</v>
      </c>
      <c r="I39" s="353">
        <v>58447.13</v>
      </c>
      <c r="J39" s="353">
        <v>47.6025</v>
      </c>
      <c r="K39" s="354">
        <f t="shared" si="4"/>
        <v>1227.8163961976786</v>
      </c>
      <c r="L39" s="341">
        <v>60</v>
      </c>
      <c r="M39" s="343">
        <f t="shared" si="5"/>
        <v>974.1188333333333</v>
      </c>
      <c r="N39" s="344">
        <f ca="1" t="shared" si="6"/>
        <v>52</v>
      </c>
      <c r="O39" s="348">
        <f t="shared" si="7"/>
        <v>7792.950666666664</v>
      </c>
      <c r="P39" s="340" t="s">
        <v>796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</row>
    <row r="40" spans="2:46" s="3" customFormat="1" ht="50.25" customHeight="1">
      <c r="B40" s="355">
        <v>43004</v>
      </c>
      <c r="C40" s="340" t="s">
        <v>2004</v>
      </c>
      <c r="D40" s="341" t="s">
        <v>2732</v>
      </c>
      <c r="E40" s="339" t="s">
        <v>2310</v>
      </c>
      <c r="F40" s="341" t="s">
        <v>2010</v>
      </c>
      <c r="G40" s="341" t="s">
        <v>2641</v>
      </c>
      <c r="H40" s="341" t="s">
        <v>437</v>
      </c>
      <c r="I40" s="353">
        <v>58447.13</v>
      </c>
      <c r="J40" s="353">
        <v>47.6025</v>
      </c>
      <c r="K40" s="354">
        <f t="shared" si="4"/>
        <v>1227.8163961976786</v>
      </c>
      <c r="L40" s="341">
        <v>60</v>
      </c>
      <c r="M40" s="343">
        <f t="shared" si="5"/>
        <v>974.1188333333333</v>
      </c>
      <c r="N40" s="344">
        <f ca="1" t="shared" si="6"/>
        <v>52</v>
      </c>
      <c r="O40" s="348">
        <f t="shared" si="7"/>
        <v>7792.950666666664</v>
      </c>
      <c r="P40" s="340" t="s">
        <v>796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</row>
    <row r="41" spans="2:46" s="3" customFormat="1" ht="54" customHeight="1">
      <c r="B41" s="355">
        <v>43004</v>
      </c>
      <c r="C41" s="340" t="s">
        <v>2004</v>
      </c>
      <c r="D41" s="341" t="s">
        <v>2733</v>
      </c>
      <c r="E41" s="339" t="s">
        <v>2310</v>
      </c>
      <c r="F41" s="341" t="s">
        <v>3455</v>
      </c>
      <c r="G41" s="341" t="s">
        <v>3581</v>
      </c>
      <c r="H41" s="341" t="s">
        <v>437</v>
      </c>
      <c r="I41" s="353">
        <v>58447.13</v>
      </c>
      <c r="J41" s="353">
        <v>47.6025</v>
      </c>
      <c r="K41" s="354">
        <f t="shared" si="4"/>
        <v>1227.8163961976786</v>
      </c>
      <c r="L41" s="341">
        <v>60</v>
      </c>
      <c r="M41" s="343">
        <f t="shared" si="5"/>
        <v>974.1188333333333</v>
      </c>
      <c r="N41" s="344">
        <f ca="1" t="shared" si="6"/>
        <v>52</v>
      </c>
      <c r="O41" s="348">
        <f t="shared" si="7"/>
        <v>7792.950666666664</v>
      </c>
      <c r="P41" s="340" t="s">
        <v>796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</row>
    <row r="42" spans="2:46" s="3" customFormat="1" ht="50.25" customHeight="1">
      <c r="B42" s="355">
        <v>43004</v>
      </c>
      <c r="C42" s="340" t="s">
        <v>2004</v>
      </c>
      <c r="D42" s="341" t="s">
        <v>2734</v>
      </c>
      <c r="E42" s="339" t="s">
        <v>2310</v>
      </c>
      <c r="F42" s="341" t="s">
        <v>3437</v>
      </c>
      <c r="G42" s="341" t="s">
        <v>2642</v>
      </c>
      <c r="H42" s="341" t="s">
        <v>437</v>
      </c>
      <c r="I42" s="353">
        <v>58447.13</v>
      </c>
      <c r="J42" s="353">
        <v>47.6025</v>
      </c>
      <c r="K42" s="354">
        <f t="shared" si="4"/>
        <v>1227.8163961976786</v>
      </c>
      <c r="L42" s="341">
        <v>60</v>
      </c>
      <c r="M42" s="343">
        <f t="shared" si="5"/>
        <v>974.1188333333333</v>
      </c>
      <c r="N42" s="344">
        <f ca="1" t="shared" si="6"/>
        <v>52</v>
      </c>
      <c r="O42" s="348">
        <f t="shared" si="7"/>
        <v>7792.950666666664</v>
      </c>
      <c r="P42" s="340" t="s">
        <v>796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</row>
    <row r="43" spans="2:46" s="3" customFormat="1" ht="54.75" customHeight="1">
      <c r="B43" s="355">
        <v>43004</v>
      </c>
      <c r="C43" s="340" t="s">
        <v>2004</v>
      </c>
      <c r="D43" s="341" t="s">
        <v>2735</v>
      </c>
      <c r="E43" s="339" t="s">
        <v>2310</v>
      </c>
      <c r="F43" s="341" t="s">
        <v>3464</v>
      </c>
      <c r="G43" s="341" t="s">
        <v>2643</v>
      </c>
      <c r="H43" s="341" t="s">
        <v>437</v>
      </c>
      <c r="I43" s="353">
        <v>58447.13</v>
      </c>
      <c r="J43" s="353">
        <v>47.6025</v>
      </c>
      <c r="K43" s="354">
        <f t="shared" si="4"/>
        <v>1227.8163961976786</v>
      </c>
      <c r="L43" s="341">
        <v>60</v>
      </c>
      <c r="M43" s="343">
        <f t="shared" si="5"/>
        <v>974.1188333333333</v>
      </c>
      <c r="N43" s="344">
        <f ca="1" t="shared" si="6"/>
        <v>52</v>
      </c>
      <c r="O43" s="348">
        <f t="shared" si="7"/>
        <v>7792.950666666664</v>
      </c>
      <c r="P43" s="340" t="s">
        <v>796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</row>
    <row r="44" spans="2:46" s="3" customFormat="1" ht="54" customHeight="1">
      <c r="B44" s="355">
        <v>43004</v>
      </c>
      <c r="C44" s="340" t="s">
        <v>2004</v>
      </c>
      <c r="D44" s="341" t="s">
        <v>2736</v>
      </c>
      <c r="E44" s="339" t="s">
        <v>2310</v>
      </c>
      <c r="F44" s="341" t="s">
        <v>3446</v>
      </c>
      <c r="G44" s="341" t="s">
        <v>3582</v>
      </c>
      <c r="H44" s="341" t="s">
        <v>437</v>
      </c>
      <c r="I44" s="353">
        <v>58447.13</v>
      </c>
      <c r="J44" s="353">
        <v>47.6025</v>
      </c>
      <c r="K44" s="354">
        <f t="shared" si="4"/>
        <v>1227.8163961976786</v>
      </c>
      <c r="L44" s="341">
        <v>60</v>
      </c>
      <c r="M44" s="343">
        <f t="shared" si="5"/>
        <v>974.1188333333333</v>
      </c>
      <c r="N44" s="344">
        <f ca="1" t="shared" si="6"/>
        <v>52</v>
      </c>
      <c r="O44" s="348">
        <f t="shared" si="7"/>
        <v>7792.950666666664</v>
      </c>
      <c r="P44" s="340" t="s">
        <v>796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</row>
    <row r="45" spans="2:46" s="3" customFormat="1" ht="57.75" customHeight="1">
      <c r="B45" s="355">
        <v>43004</v>
      </c>
      <c r="C45" s="340" t="s">
        <v>2004</v>
      </c>
      <c r="D45" s="341" t="s">
        <v>2737</v>
      </c>
      <c r="E45" s="339" t="s">
        <v>2310</v>
      </c>
      <c r="F45" s="341" t="s">
        <v>2011</v>
      </c>
      <c r="G45" s="351" t="s">
        <v>3593</v>
      </c>
      <c r="H45" s="341" t="s">
        <v>437</v>
      </c>
      <c r="I45" s="353">
        <v>58447.13</v>
      </c>
      <c r="J45" s="353">
        <v>47.6025</v>
      </c>
      <c r="K45" s="354">
        <f t="shared" si="4"/>
        <v>1227.8163961976786</v>
      </c>
      <c r="L45" s="341">
        <v>60</v>
      </c>
      <c r="M45" s="343">
        <f t="shared" si="5"/>
        <v>974.1188333333333</v>
      </c>
      <c r="N45" s="344">
        <f ca="1" t="shared" si="6"/>
        <v>52</v>
      </c>
      <c r="O45" s="348">
        <f t="shared" si="7"/>
        <v>7792.950666666664</v>
      </c>
      <c r="P45" s="340" t="s">
        <v>796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</row>
    <row r="46" spans="2:46" s="3" customFormat="1" ht="53.25" customHeight="1">
      <c r="B46" s="355">
        <v>43004</v>
      </c>
      <c r="C46" s="340" t="s">
        <v>2004</v>
      </c>
      <c r="D46" s="341" t="s">
        <v>2738</v>
      </c>
      <c r="E46" s="339" t="s">
        <v>2310</v>
      </c>
      <c r="F46" s="341" t="s">
        <v>3460</v>
      </c>
      <c r="G46" s="341" t="s">
        <v>3411</v>
      </c>
      <c r="H46" s="341" t="s">
        <v>437</v>
      </c>
      <c r="I46" s="353">
        <v>58447.13</v>
      </c>
      <c r="J46" s="353">
        <v>47.6025</v>
      </c>
      <c r="K46" s="354">
        <f t="shared" si="4"/>
        <v>1227.8163961976786</v>
      </c>
      <c r="L46" s="341">
        <v>60</v>
      </c>
      <c r="M46" s="343">
        <f t="shared" si="5"/>
        <v>974.1188333333333</v>
      </c>
      <c r="N46" s="344">
        <f ca="1" t="shared" si="6"/>
        <v>52</v>
      </c>
      <c r="O46" s="348">
        <f t="shared" si="7"/>
        <v>7792.950666666664</v>
      </c>
      <c r="P46" s="340" t="s">
        <v>796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</row>
    <row r="47" spans="2:46" s="3" customFormat="1" ht="49.5" customHeight="1">
      <c r="B47" s="355">
        <v>43004</v>
      </c>
      <c r="C47" s="340" t="s">
        <v>2004</v>
      </c>
      <c r="D47" s="341" t="s">
        <v>2739</v>
      </c>
      <c r="E47" s="339" t="s">
        <v>2310</v>
      </c>
      <c r="F47" s="341" t="s">
        <v>2012</v>
      </c>
      <c r="G47" s="341" t="s">
        <v>3583</v>
      </c>
      <c r="H47" s="341" t="s">
        <v>437</v>
      </c>
      <c r="I47" s="353">
        <v>58447.13</v>
      </c>
      <c r="J47" s="353">
        <v>47.6025</v>
      </c>
      <c r="K47" s="354">
        <f t="shared" si="4"/>
        <v>1227.8163961976786</v>
      </c>
      <c r="L47" s="341">
        <v>60</v>
      </c>
      <c r="M47" s="343">
        <f t="shared" si="5"/>
        <v>974.1188333333333</v>
      </c>
      <c r="N47" s="344">
        <f ca="1" t="shared" si="6"/>
        <v>52</v>
      </c>
      <c r="O47" s="348">
        <f t="shared" si="7"/>
        <v>7792.950666666664</v>
      </c>
      <c r="P47" s="340" t="s">
        <v>796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</row>
    <row r="48" spans="2:46" s="3" customFormat="1" ht="59.25" customHeight="1">
      <c r="B48" s="355">
        <v>43004</v>
      </c>
      <c r="C48" s="340" t="s">
        <v>2004</v>
      </c>
      <c r="D48" s="341" t="s">
        <v>2740</v>
      </c>
      <c r="E48" s="339" t="s">
        <v>2310</v>
      </c>
      <c r="F48" s="341" t="s">
        <v>2013</v>
      </c>
      <c r="G48" s="341" t="s">
        <v>2644</v>
      </c>
      <c r="H48" s="341" t="s">
        <v>437</v>
      </c>
      <c r="I48" s="353">
        <v>58447.13</v>
      </c>
      <c r="J48" s="353">
        <v>47.6025</v>
      </c>
      <c r="K48" s="354">
        <f t="shared" si="4"/>
        <v>1227.8163961976786</v>
      </c>
      <c r="L48" s="341">
        <v>60</v>
      </c>
      <c r="M48" s="343">
        <f t="shared" si="5"/>
        <v>974.1188333333333</v>
      </c>
      <c r="N48" s="344">
        <f ca="1" t="shared" si="6"/>
        <v>52</v>
      </c>
      <c r="O48" s="348">
        <f t="shared" si="7"/>
        <v>7792.950666666664</v>
      </c>
      <c r="P48" s="340" t="s">
        <v>796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</row>
    <row r="49" spans="2:46" s="3" customFormat="1" ht="46.5" customHeight="1">
      <c r="B49" s="355">
        <v>43004</v>
      </c>
      <c r="C49" s="340" t="s">
        <v>2004</v>
      </c>
      <c r="D49" s="341" t="s">
        <v>2741</v>
      </c>
      <c r="E49" s="339" t="s">
        <v>2311</v>
      </c>
      <c r="F49" s="341" t="s">
        <v>42</v>
      </c>
      <c r="G49" s="341" t="s">
        <v>81</v>
      </c>
      <c r="H49" s="341" t="s">
        <v>437</v>
      </c>
      <c r="I49" s="353">
        <v>235255.84</v>
      </c>
      <c r="J49" s="353">
        <v>47.6025</v>
      </c>
      <c r="K49" s="354">
        <f t="shared" si="4"/>
        <v>4942.090016280657</v>
      </c>
      <c r="L49" s="341">
        <v>60</v>
      </c>
      <c r="M49" s="343">
        <f t="shared" si="5"/>
        <v>3920.9306666666666</v>
      </c>
      <c r="N49" s="344">
        <f ca="1" t="shared" si="6"/>
        <v>52</v>
      </c>
      <c r="O49" s="348">
        <f t="shared" si="7"/>
        <v>31367.445333333337</v>
      </c>
      <c r="P49" s="340" t="s">
        <v>796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</row>
    <row r="50" spans="2:46" s="3" customFormat="1" ht="51.75" customHeight="1">
      <c r="B50" s="355">
        <v>43007</v>
      </c>
      <c r="C50" s="340" t="s">
        <v>2014</v>
      </c>
      <c r="D50" s="341" t="s">
        <v>2742</v>
      </c>
      <c r="E50" s="339" t="s">
        <v>2015</v>
      </c>
      <c r="F50" s="341">
        <v>15718</v>
      </c>
      <c r="G50" s="341" t="s">
        <v>3993</v>
      </c>
      <c r="H50" s="341" t="s">
        <v>437</v>
      </c>
      <c r="I50" s="353">
        <v>3776</v>
      </c>
      <c r="J50" s="353">
        <v>47.6769</v>
      </c>
      <c r="K50" s="354">
        <f t="shared" si="4"/>
        <v>79.19978018705075</v>
      </c>
      <c r="L50" s="341">
        <v>60</v>
      </c>
      <c r="M50" s="343">
        <f t="shared" si="5"/>
        <v>62.93333333333333</v>
      </c>
      <c r="N50" s="344">
        <f ca="1" t="shared" si="6"/>
        <v>52</v>
      </c>
      <c r="O50" s="348">
        <f t="shared" si="7"/>
        <v>503.4666666666667</v>
      </c>
      <c r="P50" s="340" t="s">
        <v>2016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</row>
    <row r="51" spans="2:46" s="3" customFormat="1" ht="81" customHeight="1">
      <c r="B51" s="355">
        <v>43007</v>
      </c>
      <c r="C51" s="340" t="s">
        <v>2017</v>
      </c>
      <c r="D51" s="341" t="s">
        <v>2743</v>
      </c>
      <c r="E51" s="339" t="s">
        <v>2312</v>
      </c>
      <c r="F51" s="341" t="s">
        <v>42</v>
      </c>
      <c r="G51" s="341" t="s">
        <v>2021</v>
      </c>
      <c r="H51" s="341" t="s">
        <v>437</v>
      </c>
      <c r="I51" s="353">
        <v>283878.59</v>
      </c>
      <c r="J51" s="353">
        <v>47.6769</v>
      </c>
      <c r="K51" s="354">
        <f t="shared" si="4"/>
        <v>5954.216612237792</v>
      </c>
      <c r="L51" s="341">
        <v>60</v>
      </c>
      <c r="M51" s="343">
        <f t="shared" si="5"/>
        <v>4731.309833333334</v>
      </c>
      <c r="N51" s="344">
        <f ca="1" t="shared" si="6"/>
        <v>52</v>
      </c>
      <c r="O51" s="348">
        <f t="shared" si="7"/>
        <v>37850.47866666666</v>
      </c>
      <c r="P51" s="340" t="s">
        <v>2018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</row>
    <row r="52" spans="2:46" s="3" customFormat="1" ht="93" customHeight="1">
      <c r="B52" s="355">
        <v>43007</v>
      </c>
      <c r="C52" s="340" t="s">
        <v>2019</v>
      </c>
      <c r="D52" s="341" t="s">
        <v>2744</v>
      </c>
      <c r="E52" s="339" t="s">
        <v>2313</v>
      </c>
      <c r="F52" s="341" t="s">
        <v>2020</v>
      </c>
      <c r="G52" s="341" t="s">
        <v>2021</v>
      </c>
      <c r="H52" s="341" t="s">
        <v>437</v>
      </c>
      <c r="I52" s="353">
        <v>112692.89</v>
      </c>
      <c r="J52" s="353">
        <v>47.6769</v>
      </c>
      <c r="K52" s="354">
        <f t="shared" si="4"/>
        <v>2363.679056314483</v>
      </c>
      <c r="L52" s="341">
        <v>60</v>
      </c>
      <c r="M52" s="343">
        <f t="shared" si="5"/>
        <v>1878.2148333333332</v>
      </c>
      <c r="N52" s="344">
        <f ca="1" t="shared" si="6"/>
        <v>52</v>
      </c>
      <c r="O52" s="348">
        <f t="shared" si="7"/>
        <v>15025.718666666668</v>
      </c>
      <c r="P52" s="340" t="s">
        <v>746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</row>
    <row r="53" spans="2:46" s="3" customFormat="1" ht="81.75" customHeight="1">
      <c r="B53" s="355">
        <v>43053</v>
      </c>
      <c r="C53" s="340" t="s">
        <v>2022</v>
      </c>
      <c r="D53" s="341" t="s">
        <v>2745</v>
      </c>
      <c r="E53" s="339" t="s">
        <v>3797</v>
      </c>
      <c r="F53" s="341" t="s">
        <v>42</v>
      </c>
      <c r="G53" s="341" t="s">
        <v>821</v>
      </c>
      <c r="H53" s="341" t="s">
        <v>2320</v>
      </c>
      <c r="I53" s="353">
        <f>1770*16</f>
        <v>28320</v>
      </c>
      <c r="J53" s="353">
        <v>47.851</v>
      </c>
      <c r="K53" s="354">
        <f t="shared" si="4"/>
        <v>591.837161187854</v>
      </c>
      <c r="L53" s="341">
        <v>60</v>
      </c>
      <c r="M53" s="343">
        <f t="shared" si="5"/>
        <v>472</v>
      </c>
      <c r="N53" s="344">
        <f ca="1" t="shared" si="6"/>
        <v>50</v>
      </c>
      <c r="O53" s="348">
        <f t="shared" si="7"/>
        <v>4720</v>
      </c>
      <c r="P53" s="340" t="s">
        <v>740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</row>
    <row r="54" spans="2:46" s="3" customFormat="1" ht="78" customHeight="1">
      <c r="B54" s="355">
        <v>43053</v>
      </c>
      <c r="C54" s="340" t="s">
        <v>2022</v>
      </c>
      <c r="D54" s="341" t="s">
        <v>2746</v>
      </c>
      <c r="E54" s="339" t="s">
        <v>3798</v>
      </c>
      <c r="F54" s="341" t="s">
        <v>42</v>
      </c>
      <c r="G54" s="341" t="s">
        <v>826</v>
      </c>
      <c r="H54" s="341" t="s">
        <v>2321</v>
      </c>
      <c r="I54" s="353">
        <f>1770*12</f>
        <v>21240</v>
      </c>
      <c r="J54" s="353">
        <v>47.851</v>
      </c>
      <c r="K54" s="354">
        <f t="shared" si="4"/>
        <v>443.8778708908905</v>
      </c>
      <c r="L54" s="341">
        <v>60</v>
      </c>
      <c r="M54" s="343">
        <f t="shared" si="5"/>
        <v>354</v>
      </c>
      <c r="N54" s="344">
        <f ca="1" t="shared" si="6"/>
        <v>50</v>
      </c>
      <c r="O54" s="348">
        <f t="shared" si="7"/>
        <v>3540</v>
      </c>
      <c r="P54" s="340" t="s">
        <v>740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</row>
    <row r="55" spans="2:46" s="3" customFormat="1" ht="81.75" customHeight="1">
      <c r="B55" s="355">
        <v>43053</v>
      </c>
      <c r="C55" s="340" t="s">
        <v>2022</v>
      </c>
      <c r="D55" s="341" t="s">
        <v>2747</v>
      </c>
      <c r="E55" s="339" t="s">
        <v>3797</v>
      </c>
      <c r="F55" s="341" t="s">
        <v>42</v>
      </c>
      <c r="G55" s="341" t="s">
        <v>2322</v>
      </c>
      <c r="H55" s="341" t="s">
        <v>2323</v>
      </c>
      <c r="I55" s="353">
        <f>1770*16</f>
        <v>28320</v>
      </c>
      <c r="J55" s="353">
        <v>47.851</v>
      </c>
      <c r="K55" s="354">
        <f t="shared" si="4"/>
        <v>591.837161187854</v>
      </c>
      <c r="L55" s="341">
        <v>60</v>
      </c>
      <c r="M55" s="343">
        <f t="shared" si="5"/>
        <v>472</v>
      </c>
      <c r="N55" s="344">
        <f ca="1" t="shared" si="6"/>
        <v>50</v>
      </c>
      <c r="O55" s="348">
        <f t="shared" si="7"/>
        <v>4720</v>
      </c>
      <c r="P55" s="340" t="s">
        <v>740</v>
      </c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</row>
    <row r="56" spans="2:46" s="3" customFormat="1" ht="78" customHeight="1">
      <c r="B56" s="355">
        <v>43053</v>
      </c>
      <c r="C56" s="340" t="s">
        <v>2022</v>
      </c>
      <c r="D56" s="341" t="s">
        <v>2748</v>
      </c>
      <c r="E56" s="339" t="s">
        <v>3797</v>
      </c>
      <c r="F56" s="341" t="s">
        <v>42</v>
      </c>
      <c r="G56" s="341" t="s">
        <v>2865</v>
      </c>
      <c r="H56" s="341" t="s">
        <v>2325</v>
      </c>
      <c r="I56" s="353">
        <f>1770*16</f>
        <v>28320</v>
      </c>
      <c r="J56" s="353">
        <v>47.851</v>
      </c>
      <c r="K56" s="354">
        <f t="shared" si="4"/>
        <v>591.837161187854</v>
      </c>
      <c r="L56" s="341">
        <v>60</v>
      </c>
      <c r="M56" s="343">
        <f t="shared" si="5"/>
        <v>472</v>
      </c>
      <c r="N56" s="344">
        <f ca="1" t="shared" si="6"/>
        <v>50</v>
      </c>
      <c r="O56" s="348">
        <f t="shared" si="7"/>
        <v>4720</v>
      </c>
      <c r="P56" s="340" t="s">
        <v>740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</row>
    <row r="57" spans="2:46" s="3" customFormat="1" ht="78.75" customHeight="1">
      <c r="B57" s="355">
        <v>43061</v>
      </c>
      <c r="C57" s="340" t="s">
        <v>2023</v>
      </c>
      <c r="D57" s="341" t="s">
        <v>2749</v>
      </c>
      <c r="E57" s="339" t="s">
        <v>3799</v>
      </c>
      <c r="F57" s="341" t="s">
        <v>42</v>
      </c>
      <c r="G57" s="341" t="s">
        <v>821</v>
      </c>
      <c r="H57" s="341" t="s">
        <v>2320</v>
      </c>
      <c r="I57" s="353">
        <f>(5513.26+1689.754)*1</f>
        <v>7203.014</v>
      </c>
      <c r="J57" s="353">
        <v>47.9308</v>
      </c>
      <c r="K57" s="354">
        <f t="shared" si="4"/>
        <v>150.27944453253443</v>
      </c>
      <c r="L57" s="341">
        <v>60</v>
      </c>
      <c r="M57" s="343">
        <f t="shared" si="5"/>
        <v>120.05023333333334</v>
      </c>
      <c r="N57" s="344">
        <f ca="1" t="shared" si="6"/>
        <v>50</v>
      </c>
      <c r="O57" s="348">
        <f t="shared" si="7"/>
        <v>1200.502333333333</v>
      </c>
      <c r="P57" s="340" t="s">
        <v>2024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</row>
    <row r="58" spans="2:46" s="3" customFormat="1" ht="81" customHeight="1">
      <c r="B58" s="355">
        <v>43061</v>
      </c>
      <c r="C58" s="340" t="s">
        <v>2023</v>
      </c>
      <c r="D58" s="341" t="s">
        <v>2750</v>
      </c>
      <c r="E58" s="339" t="s">
        <v>3800</v>
      </c>
      <c r="F58" s="341" t="s">
        <v>42</v>
      </c>
      <c r="G58" s="341" t="s">
        <v>821</v>
      </c>
      <c r="H58" s="341" t="s">
        <v>2320</v>
      </c>
      <c r="I58" s="353">
        <f>(5698.49+1689.8)*18</f>
        <v>132989.22</v>
      </c>
      <c r="J58" s="353">
        <v>47.9308</v>
      </c>
      <c r="K58" s="354">
        <f t="shared" si="4"/>
        <v>2774.60881103591</v>
      </c>
      <c r="L58" s="341">
        <v>60</v>
      </c>
      <c r="M58" s="343">
        <f t="shared" si="5"/>
        <v>2216.487</v>
      </c>
      <c r="N58" s="344">
        <f ca="1" t="shared" si="6"/>
        <v>50</v>
      </c>
      <c r="O58" s="348">
        <f t="shared" si="7"/>
        <v>22164.869999999995</v>
      </c>
      <c r="P58" s="340" t="s">
        <v>2024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</row>
    <row r="59" spans="2:46" s="3" customFormat="1" ht="100.5" customHeight="1">
      <c r="B59" s="355">
        <v>43061</v>
      </c>
      <c r="C59" s="340" t="s">
        <v>2023</v>
      </c>
      <c r="D59" s="341" t="s">
        <v>2751</v>
      </c>
      <c r="E59" s="339" t="s">
        <v>3801</v>
      </c>
      <c r="F59" s="341" t="s">
        <v>42</v>
      </c>
      <c r="G59" s="341" t="s">
        <v>821</v>
      </c>
      <c r="H59" s="341" t="s">
        <v>2320</v>
      </c>
      <c r="I59" s="353">
        <f>(6045.6+1689.8)*99</f>
        <v>765804.6000000001</v>
      </c>
      <c r="J59" s="353">
        <v>47.9308</v>
      </c>
      <c r="K59" s="354">
        <f t="shared" si="4"/>
        <v>15977.296435694796</v>
      </c>
      <c r="L59" s="341">
        <v>60</v>
      </c>
      <c r="M59" s="343">
        <f t="shared" si="5"/>
        <v>12763.410000000002</v>
      </c>
      <c r="N59" s="344">
        <f ca="1" t="shared" si="6"/>
        <v>50</v>
      </c>
      <c r="O59" s="348">
        <f t="shared" si="7"/>
        <v>127634.09999999998</v>
      </c>
      <c r="P59" s="340" t="s">
        <v>2024</v>
      </c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</row>
    <row r="60" spans="2:46" s="3" customFormat="1" ht="81" customHeight="1">
      <c r="B60" s="355">
        <v>43061</v>
      </c>
      <c r="C60" s="340" t="s">
        <v>2023</v>
      </c>
      <c r="D60" s="341" t="s">
        <v>2752</v>
      </c>
      <c r="E60" s="339" t="s">
        <v>3802</v>
      </c>
      <c r="F60" s="341" t="s">
        <v>42</v>
      </c>
      <c r="G60" s="341" t="s">
        <v>826</v>
      </c>
      <c r="H60" s="341" t="s">
        <v>2321</v>
      </c>
      <c r="I60" s="353">
        <f>(5698.49+1689.8)*4</f>
        <v>29553.16</v>
      </c>
      <c r="J60" s="353">
        <v>47.9308</v>
      </c>
      <c r="K60" s="354">
        <f t="shared" si="4"/>
        <v>616.5797357857579</v>
      </c>
      <c r="L60" s="341">
        <v>60</v>
      </c>
      <c r="M60" s="343">
        <f t="shared" si="5"/>
        <v>492.55266666666665</v>
      </c>
      <c r="N60" s="344">
        <f ca="1" t="shared" si="6"/>
        <v>50</v>
      </c>
      <c r="O60" s="348">
        <f t="shared" si="7"/>
        <v>4925.5266666666685</v>
      </c>
      <c r="P60" s="340" t="s">
        <v>2024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</row>
    <row r="61" spans="2:46" s="3" customFormat="1" ht="84" customHeight="1">
      <c r="B61" s="355">
        <v>43061</v>
      </c>
      <c r="C61" s="340" t="s">
        <v>2023</v>
      </c>
      <c r="D61" s="341" t="s">
        <v>2753</v>
      </c>
      <c r="E61" s="339" t="s">
        <v>3803</v>
      </c>
      <c r="F61" s="341" t="s">
        <v>42</v>
      </c>
      <c r="G61" s="341" t="s">
        <v>826</v>
      </c>
      <c r="H61" s="341" t="s">
        <v>2321</v>
      </c>
      <c r="I61" s="353">
        <f>(6045.6+1689.8)*62</f>
        <v>479594.80000000005</v>
      </c>
      <c r="J61" s="353">
        <v>47.9308</v>
      </c>
      <c r="K61" s="354">
        <f t="shared" si="4"/>
        <v>10005.98362639472</v>
      </c>
      <c r="L61" s="341">
        <v>60</v>
      </c>
      <c r="M61" s="343">
        <f t="shared" si="5"/>
        <v>7993.246666666668</v>
      </c>
      <c r="N61" s="344">
        <f ca="1" t="shared" si="6"/>
        <v>50</v>
      </c>
      <c r="O61" s="348">
        <f t="shared" si="7"/>
        <v>79932.46666666667</v>
      </c>
      <c r="P61" s="340" t="s">
        <v>2024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</row>
    <row r="62" spans="2:46" s="3" customFormat="1" ht="87.75" customHeight="1">
      <c r="B62" s="355">
        <v>43061</v>
      </c>
      <c r="C62" s="340" t="s">
        <v>2023</v>
      </c>
      <c r="D62" s="341" t="s">
        <v>2754</v>
      </c>
      <c r="E62" s="339" t="s">
        <v>3804</v>
      </c>
      <c r="F62" s="341" t="s">
        <v>42</v>
      </c>
      <c r="G62" s="341" t="s">
        <v>2865</v>
      </c>
      <c r="H62" s="341" t="s">
        <v>2325</v>
      </c>
      <c r="I62" s="353">
        <f>(5513.26+1689.75)*9</f>
        <v>64827.090000000004</v>
      </c>
      <c r="J62" s="353">
        <v>47.9308</v>
      </c>
      <c r="K62" s="354">
        <f t="shared" si="4"/>
        <v>1352.5142497099987</v>
      </c>
      <c r="L62" s="341">
        <v>60</v>
      </c>
      <c r="M62" s="343">
        <f t="shared" si="5"/>
        <v>1080.4515000000001</v>
      </c>
      <c r="N62" s="344">
        <f ca="1" t="shared" si="6"/>
        <v>50</v>
      </c>
      <c r="O62" s="348">
        <f t="shared" si="7"/>
        <v>10804.515</v>
      </c>
      <c r="P62" s="340" t="s">
        <v>2024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</row>
    <row r="63" spans="2:46" s="3" customFormat="1" ht="87" customHeight="1">
      <c r="B63" s="355">
        <v>43061</v>
      </c>
      <c r="C63" s="340" t="s">
        <v>2023</v>
      </c>
      <c r="D63" s="341" t="s">
        <v>2755</v>
      </c>
      <c r="E63" s="339" t="s">
        <v>3805</v>
      </c>
      <c r="F63" s="341" t="s">
        <v>42</v>
      </c>
      <c r="G63" s="341" t="s">
        <v>2865</v>
      </c>
      <c r="H63" s="341" t="s">
        <v>2325</v>
      </c>
      <c r="I63" s="353">
        <f>(5698.49+1689.8)*15</f>
        <v>110824.35</v>
      </c>
      <c r="J63" s="353">
        <v>47.9308</v>
      </c>
      <c r="K63" s="354">
        <f t="shared" si="4"/>
        <v>2312.174009196592</v>
      </c>
      <c r="L63" s="341">
        <v>60</v>
      </c>
      <c r="M63" s="343">
        <f t="shared" si="5"/>
        <v>1847.0725</v>
      </c>
      <c r="N63" s="344">
        <f ca="1" t="shared" si="6"/>
        <v>50</v>
      </c>
      <c r="O63" s="348">
        <f t="shared" si="7"/>
        <v>18470.725000000006</v>
      </c>
      <c r="P63" s="340" t="s">
        <v>2024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</row>
    <row r="64" spans="2:46" s="3" customFormat="1" ht="100.5" customHeight="1">
      <c r="B64" s="355">
        <v>43061</v>
      </c>
      <c r="C64" s="340" t="s">
        <v>2023</v>
      </c>
      <c r="D64" s="341" t="s">
        <v>2756</v>
      </c>
      <c r="E64" s="339" t="s">
        <v>3806</v>
      </c>
      <c r="F64" s="341" t="s">
        <v>42</v>
      </c>
      <c r="G64" s="341" t="s">
        <v>2865</v>
      </c>
      <c r="H64" s="341" t="s">
        <v>2325</v>
      </c>
      <c r="I64" s="353">
        <f>(6045.6+1689.8)*101</f>
        <v>781275.4</v>
      </c>
      <c r="J64" s="353">
        <v>47.9308</v>
      </c>
      <c r="K64" s="354">
        <f t="shared" si="4"/>
        <v>16300.070101062367</v>
      </c>
      <c r="L64" s="341">
        <v>60</v>
      </c>
      <c r="M64" s="343">
        <f t="shared" si="5"/>
        <v>13021.256666666666</v>
      </c>
      <c r="N64" s="344">
        <f ca="1" t="shared" si="6"/>
        <v>50</v>
      </c>
      <c r="O64" s="348">
        <f t="shared" si="7"/>
        <v>130212.56666666677</v>
      </c>
      <c r="P64" s="340" t="s">
        <v>2024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</row>
    <row r="65" spans="2:46" s="3" customFormat="1" ht="86.25" customHeight="1">
      <c r="B65" s="355">
        <v>43061</v>
      </c>
      <c r="C65" s="340" t="s">
        <v>2023</v>
      </c>
      <c r="D65" s="341" t="s">
        <v>2757</v>
      </c>
      <c r="E65" s="339" t="s">
        <v>3807</v>
      </c>
      <c r="F65" s="341" t="s">
        <v>42</v>
      </c>
      <c r="G65" s="341" t="s">
        <v>2322</v>
      </c>
      <c r="H65" s="341" t="s">
        <v>2323</v>
      </c>
      <c r="I65" s="353">
        <f>(5513.26+1689.75)*4</f>
        <v>28812.04</v>
      </c>
      <c r="J65" s="353">
        <v>47.9308</v>
      </c>
      <c r="K65" s="354">
        <f>+I65/J65</f>
        <v>601.117444315555</v>
      </c>
      <c r="L65" s="341">
        <v>60</v>
      </c>
      <c r="M65" s="343">
        <f t="shared" si="5"/>
        <v>480.2006666666667</v>
      </c>
      <c r="N65" s="344">
        <f ca="1" t="shared" si="6"/>
        <v>50</v>
      </c>
      <c r="O65" s="348">
        <f t="shared" si="7"/>
        <v>4802.006666666668</v>
      </c>
      <c r="P65" s="340" t="s">
        <v>2024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</row>
    <row r="66" spans="2:46" s="3" customFormat="1" ht="84.75" customHeight="1">
      <c r="B66" s="355">
        <v>43061</v>
      </c>
      <c r="C66" s="340" t="s">
        <v>2023</v>
      </c>
      <c r="D66" s="341" t="s">
        <v>2758</v>
      </c>
      <c r="E66" s="339" t="s">
        <v>3808</v>
      </c>
      <c r="F66" s="341" t="s">
        <v>42</v>
      </c>
      <c r="G66" s="341" t="s">
        <v>2322</v>
      </c>
      <c r="H66" s="341" t="s">
        <v>2323</v>
      </c>
      <c r="I66" s="353">
        <f>(5698.49+1689.8)*6</f>
        <v>44329.74</v>
      </c>
      <c r="J66" s="353">
        <v>47.9308</v>
      </c>
      <c r="K66" s="354">
        <f t="shared" si="4"/>
        <v>924.8696036786367</v>
      </c>
      <c r="L66" s="341">
        <v>60</v>
      </c>
      <c r="M66" s="343">
        <f t="shared" si="5"/>
        <v>738.829</v>
      </c>
      <c r="N66" s="344">
        <f ca="1" t="shared" si="6"/>
        <v>50</v>
      </c>
      <c r="O66" s="348">
        <f t="shared" si="7"/>
        <v>7388.290000000001</v>
      </c>
      <c r="P66" s="340" t="s">
        <v>2024</v>
      </c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</row>
    <row r="67" spans="2:46" s="3" customFormat="1" ht="77.25" customHeight="1">
      <c r="B67" s="355">
        <v>43061</v>
      </c>
      <c r="C67" s="340" t="s">
        <v>2023</v>
      </c>
      <c r="D67" s="341" t="s">
        <v>2759</v>
      </c>
      <c r="E67" s="339" t="s">
        <v>3809</v>
      </c>
      <c r="F67" s="341" t="s">
        <v>42</v>
      </c>
      <c r="G67" s="341" t="s">
        <v>2322</v>
      </c>
      <c r="H67" s="341" t="s">
        <v>2323</v>
      </c>
      <c r="I67" s="353">
        <f>(6045.6+1689.8)*100</f>
        <v>773540</v>
      </c>
      <c r="J67" s="353">
        <v>47.9308</v>
      </c>
      <c r="K67" s="354">
        <f t="shared" si="4"/>
        <v>16138.68326837858</v>
      </c>
      <c r="L67" s="341">
        <v>60</v>
      </c>
      <c r="M67" s="343">
        <f t="shared" si="5"/>
        <v>12892.333333333334</v>
      </c>
      <c r="N67" s="344">
        <f ca="1" t="shared" si="6"/>
        <v>50</v>
      </c>
      <c r="O67" s="348">
        <f t="shared" si="7"/>
        <v>128923.33333333326</v>
      </c>
      <c r="P67" s="340" t="s">
        <v>2024</v>
      </c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</row>
    <row r="68" spans="2:46" s="3" customFormat="1" ht="53.25" customHeight="1">
      <c r="B68" s="355">
        <v>43087</v>
      </c>
      <c r="C68" s="340" t="s">
        <v>2025</v>
      </c>
      <c r="D68" s="341" t="s">
        <v>2760</v>
      </c>
      <c r="E68" s="339" t="s">
        <v>2026</v>
      </c>
      <c r="F68" s="341" t="s">
        <v>2027</v>
      </c>
      <c r="G68" s="341" t="s">
        <v>821</v>
      </c>
      <c r="H68" s="341" t="s">
        <v>2320</v>
      </c>
      <c r="I68" s="353">
        <v>14543.5</v>
      </c>
      <c r="J68" s="353">
        <v>48.1172</v>
      </c>
      <c r="K68" s="354">
        <f t="shared" si="4"/>
        <v>302.2515857115543</v>
      </c>
      <c r="L68" s="341">
        <v>60</v>
      </c>
      <c r="M68" s="343">
        <f t="shared" si="5"/>
        <v>242.39166666666668</v>
      </c>
      <c r="N68" s="344">
        <f ca="1" t="shared" si="6"/>
        <v>49</v>
      </c>
      <c r="O68" s="348">
        <f t="shared" si="7"/>
        <v>2666.3083333333325</v>
      </c>
      <c r="P68" s="340" t="s">
        <v>2028</v>
      </c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</row>
    <row r="69" spans="2:46" s="3" customFormat="1" ht="54" customHeight="1">
      <c r="B69" s="355">
        <v>43087</v>
      </c>
      <c r="C69" s="340" t="s">
        <v>2025</v>
      </c>
      <c r="D69" s="341" t="s">
        <v>2761</v>
      </c>
      <c r="E69" s="339" t="s">
        <v>2026</v>
      </c>
      <c r="F69" s="341" t="s">
        <v>2027</v>
      </c>
      <c r="G69" s="341" t="s">
        <v>821</v>
      </c>
      <c r="H69" s="341" t="s">
        <v>2320</v>
      </c>
      <c r="I69" s="353">
        <v>14543.5</v>
      </c>
      <c r="J69" s="353">
        <v>48.1172</v>
      </c>
      <c r="K69" s="354">
        <f t="shared" si="4"/>
        <v>302.2515857115543</v>
      </c>
      <c r="L69" s="341">
        <v>60</v>
      </c>
      <c r="M69" s="343">
        <f t="shared" si="5"/>
        <v>242.39166666666668</v>
      </c>
      <c r="N69" s="344">
        <f ca="1" t="shared" si="6"/>
        <v>49</v>
      </c>
      <c r="O69" s="348">
        <f t="shared" si="7"/>
        <v>2666.3083333333325</v>
      </c>
      <c r="P69" s="340" t="s">
        <v>2028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</row>
    <row r="70" spans="2:46" s="3" customFormat="1" ht="53.25" customHeight="1">
      <c r="B70" s="355">
        <v>43087</v>
      </c>
      <c r="C70" s="340" t="s">
        <v>2025</v>
      </c>
      <c r="D70" s="341" t="s">
        <v>2762</v>
      </c>
      <c r="E70" s="339" t="s">
        <v>2026</v>
      </c>
      <c r="F70" s="341" t="s">
        <v>2027</v>
      </c>
      <c r="G70" s="341" t="s">
        <v>821</v>
      </c>
      <c r="H70" s="341" t="s">
        <v>2320</v>
      </c>
      <c r="I70" s="353">
        <v>14543.5</v>
      </c>
      <c r="J70" s="353">
        <v>48.1172</v>
      </c>
      <c r="K70" s="354">
        <f t="shared" si="4"/>
        <v>302.2515857115543</v>
      </c>
      <c r="L70" s="341">
        <v>60</v>
      </c>
      <c r="M70" s="343">
        <f t="shared" si="5"/>
        <v>242.39166666666668</v>
      </c>
      <c r="N70" s="344">
        <f ca="1" t="shared" si="6"/>
        <v>49</v>
      </c>
      <c r="O70" s="348">
        <f t="shared" si="7"/>
        <v>2666.3083333333325</v>
      </c>
      <c r="P70" s="340" t="s">
        <v>2028</v>
      </c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</row>
    <row r="71" spans="2:46" s="3" customFormat="1" ht="60.75" customHeight="1">
      <c r="B71" s="355">
        <v>43087</v>
      </c>
      <c r="C71" s="340" t="s">
        <v>2025</v>
      </c>
      <c r="D71" s="341" t="s">
        <v>2763</v>
      </c>
      <c r="E71" s="339" t="s">
        <v>2026</v>
      </c>
      <c r="F71" s="341" t="s">
        <v>2027</v>
      </c>
      <c r="G71" s="341" t="s">
        <v>826</v>
      </c>
      <c r="H71" s="341" t="s">
        <v>2321</v>
      </c>
      <c r="I71" s="353">
        <v>14543.5</v>
      </c>
      <c r="J71" s="353">
        <v>48.1172</v>
      </c>
      <c r="K71" s="354">
        <f t="shared" si="4"/>
        <v>302.2515857115543</v>
      </c>
      <c r="L71" s="341">
        <v>60</v>
      </c>
      <c r="M71" s="343">
        <f t="shared" si="5"/>
        <v>242.39166666666668</v>
      </c>
      <c r="N71" s="344">
        <f ca="1" t="shared" si="6"/>
        <v>49</v>
      </c>
      <c r="O71" s="348">
        <f t="shared" si="7"/>
        <v>2666.3083333333325</v>
      </c>
      <c r="P71" s="340" t="s">
        <v>2028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</row>
    <row r="72" spans="2:46" s="3" customFormat="1" ht="67.5" customHeight="1">
      <c r="B72" s="355">
        <v>43087</v>
      </c>
      <c r="C72" s="340" t="s">
        <v>2025</v>
      </c>
      <c r="D72" s="341" t="s">
        <v>2764</v>
      </c>
      <c r="E72" s="339" t="s">
        <v>2026</v>
      </c>
      <c r="F72" s="341" t="s">
        <v>2027</v>
      </c>
      <c r="G72" s="341" t="s">
        <v>826</v>
      </c>
      <c r="H72" s="341" t="s">
        <v>2321</v>
      </c>
      <c r="I72" s="353">
        <v>14543.5</v>
      </c>
      <c r="J72" s="353">
        <v>48.1172</v>
      </c>
      <c r="K72" s="354">
        <f t="shared" si="4"/>
        <v>302.2515857115543</v>
      </c>
      <c r="L72" s="341">
        <v>60</v>
      </c>
      <c r="M72" s="343">
        <f t="shared" si="5"/>
        <v>242.39166666666668</v>
      </c>
      <c r="N72" s="344">
        <f ca="1" t="shared" si="6"/>
        <v>49</v>
      </c>
      <c r="O72" s="348">
        <f t="shared" si="7"/>
        <v>2666.3083333333325</v>
      </c>
      <c r="P72" s="340" t="s">
        <v>2028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</row>
    <row r="73" spans="2:46" s="3" customFormat="1" ht="77.25" customHeight="1">
      <c r="B73" s="355">
        <v>43087</v>
      </c>
      <c r="C73" s="340" t="s">
        <v>2025</v>
      </c>
      <c r="D73" s="341" t="s">
        <v>2765</v>
      </c>
      <c r="E73" s="339" t="s">
        <v>2026</v>
      </c>
      <c r="F73" s="341" t="s">
        <v>2027</v>
      </c>
      <c r="G73" s="341" t="s">
        <v>2322</v>
      </c>
      <c r="H73" s="341" t="s">
        <v>2323</v>
      </c>
      <c r="I73" s="353">
        <v>14543.5</v>
      </c>
      <c r="J73" s="353">
        <v>48.1172</v>
      </c>
      <c r="K73" s="354">
        <f t="shared" si="4"/>
        <v>302.2515857115543</v>
      </c>
      <c r="L73" s="341">
        <v>60</v>
      </c>
      <c r="M73" s="343">
        <f t="shared" si="5"/>
        <v>242.39166666666668</v>
      </c>
      <c r="N73" s="344">
        <f ca="1" t="shared" si="6"/>
        <v>49</v>
      </c>
      <c r="O73" s="348">
        <f t="shared" si="7"/>
        <v>2666.3083333333325</v>
      </c>
      <c r="P73" s="340" t="s">
        <v>2028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</row>
    <row r="74" spans="2:46" s="3" customFormat="1" ht="81" customHeight="1">
      <c r="B74" s="355">
        <v>43087</v>
      </c>
      <c r="C74" s="340" t="s">
        <v>2025</v>
      </c>
      <c r="D74" s="341" t="s">
        <v>2766</v>
      </c>
      <c r="E74" s="339" t="s">
        <v>2026</v>
      </c>
      <c r="F74" s="341" t="s">
        <v>2027</v>
      </c>
      <c r="G74" s="341" t="s">
        <v>2322</v>
      </c>
      <c r="H74" s="341" t="s">
        <v>2323</v>
      </c>
      <c r="I74" s="353">
        <v>14543.5</v>
      </c>
      <c r="J74" s="353">
        <v>48.1172</v>
      </c>
      <c r="K74" s="354">
        <f t="shared" si="4"/>
        <v>302.2515857115543</v>
      </c>
      <c r="L74" s="341">
        <v>60</v>
      </c>
      <c r="M74" s="343">
        <f t="shared" si="5"/>
        <v>242.39166666666668</v>
      </c>
      <c r="N74" s="344">
        <f ca="1" t="shared" si="6"/>
        <v>49</v>
      </c>
      <c r="O74" s="348">
        <f t="shared" si="7"/>
        <v>2666.3083333333325</v>
      </c>
      <c r="P74" s="340" t="s">
        <v>2028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</row>
    <row r="75" spans="2:46" s="3" customFormat="1" ht="60.75" customHeight="1">
      <c r="B75" s="355">
        <v>43087</v>
      </c>
      <c r="C75" s="340" t="s">
        <v>2025</v>
      </c>
      <c r="D75" s="341" t="s">
        <v>2767</v>
      </c>
      <c r="E75" s="339" t="s">
        <v>2026</v>
      </c>
      <c r="F75" s="341" t="s">
        <v>2027</v>
      </c>
      <c r="G75" s="341" t="s">
        <v>2865</v>
      </c>
      <c r="H75" s="341" t="s">
        <v>2325</v>
      </c>
      <c r="I75" s="353">
        <v>14543.5</v>
      </c>
      <c r="J75" s="353">
        <v>48.1172</v>
      </c>
      <c r="K75" s="354">
        <f t="shared" si="4"/>
        <v>302.2515857115543</v>
      </c>
      <c r="L75" s="341">
        <v>60</v>
      </c>
      <c r="M75" s="343">
        <f t="shared" si="5"/>
        <v>242.39166666666668</v>
      </c>
      <c r="N75" s="344">
        <f ca="1" t="shared" si="6"/>
        <v>49</v>
      </c>
      <c r="O75" s="348">
        <f t="shared" si="7"/>
        <v>2666.3083333333325</v>
      </c>
      <c r="P75" s="340" t="s">
        <v>2028</v>
      </c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</row>
    <row r="76" spans="2:46" s="3" customFormat="1" ht="62.25" customHeight="1">
      <c r="B76" s="355">
        <v>43087</v>
      </c>
      <c r="C76" s="340" t="s">
        <v>2025</v>
      </c>
      <c r="D76" s="341" t="s">
        <v>2768</v>
      </c>
      <c r="E76" s="339" t="s">
        <v>2026</v>
      </c>
      <c r="F76" s="341" t="s">
        <v>2027</v>
      </c>
      <c r="G76" s="341" t="s">
        <v>2865</v>
      </c>
      <c r="H76" s="341" t="s">
        <v>2325</v>
      </c>
      <c r="I76" s="353">
        <v>14543.5</v>
      </c>
      <c r="J76" s="353">
        <v>48.1172</v>
      </c>
      <c r="K76" s="354">
        <f t="shared" si="4"/>
        <v>302.2515857115543</v>
      </c>
      <c r="L76" s="341">
        <v>60</v>
      </c>
      <c r="M76" s="343">
        <f t="shared" si="5"/>
        <v>242.39166666666668</v>
      </c>
      <c r="N76" s="344">
        <f ca="1" t="shared" si="6"/>
        <v>49</v>
      </c>
      <c r="O76" s="348">
        <f t="shared" si="7"/>
        <v>2666.3083333333325</v>
      </c>
      <c r="P76" s="340" t="s">
        <v>2028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</row>
    <row r="77" spans="2:46" s="3" customFormat="1" ht="50.25" customHeight="1">
      <c r="B77" s="355">
        <v>43087</v>
      </c>
      <c r="C77" s="340" t="s">
        <v>2025</v>
      </c>
      <c r="D77" s="341" t="s">
        <v>2769</v>
      </c>
      <c r="E77" s="339" t="s">
        <v>3780</v>
      </c>
      <c r="F77" s="341" t="s">
        <v>2029</v>
      </c>
      <c r="G77" s="341" t="s">
        <v>826</v>
      </c>
      <c r="H77" s="341" t="s">
        <v>2321</v>
      </c>
      <c r="I77" s="353">
        <v>4100.5</v>
      </c>
      <c r="J77" s="353">
        <v>48.1172</v>
      </c>
      <c r="K77" s="354">
        <f t="shared" si="4"/>
        <v>85.21900692475872</v>
      </c>
      <c r="L77" s="341">
        <v>60</v>
      </c>
      <c r="M77" s="343">
        <f t="shared" si="5"/>
        <v>68.34166666666667</v>
      </c>
      <c r="N77" s="344">
        <f ca="1" t="shared" si="6"/>
        <v>49</v>
      </c>
      <c r="O77" s="348">
        <f t="shared" si="7"/>
        <v>751.7583333333332</v>
      </c>
      <c r="P77" s="340" t="s">
        <v>2028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</row>
    <row r="78" spans="2:46" s="3" customFormat="1" ht="68.25" customHeight="1">
      <c r="B78" s="355">
        <v>43087</v>
      </c>
      <c r="C78" s="340" t="s">
        <v>2025</v>
      </c>
      <c r="D78" s="341" t="s">
        <v>2770</v>
      </c>
      <c r="E78" s="339" t="s">
        <v>3779</v>
      </c>
      <c r="F78" s="341" t="s">
        <v>2029</v>
      </c>
      <c r="G78" s="341" t="s">
        <v>826</v>
      </c>
      <c r="H78" s="341" t="s">
        <v>2321</v>
      </c>
      <c r="I78" s="353">
        <v>4100.5</v>
      </c>
      <c r="J78" s="353">
        <v>48.1172</v>
      </c>
      <c r="K78" s="354">
        <f t="shared" si="4"/>
        <v>85.21900692475872</v>
      </c>
      <c r="L78" s="341">
        <v>60</v>
      </c>
      <c r="M78" s="343">
        <f t="shared" si="5"/>
        <v>68.34166666666667</v>
      </c>
      <c r="N78" s="344">
        <f ca="1" t="shared" si="6"/>
        <v>49</v>
      </c>
      <c r="O78" s="348">
        <f t="shared" si="7"/>
        <v>751.7583333333332</v>
      </c>
      <c r="P78" s="340" t="s">
        <v>2028</v>
      </c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</row>
    <row r="79" spans="2:46" s="3" customFormat="1" ht="64.5" customHeight="1">
      <c r="B79" s="355">
        <v>43087</v>
      </c>
      <c r="C79" s="340" t="s">
        <v>2025</v>
      </c>
      <c r="D79" s="341" t="s">
        <v>2771</v>
      </c>
      <c r="E79" s="339" t="s">
        <v>3778</v>
      </c>
      <c r="F79" s="341" t="s">
        <v>2029</v>
      </c>
      <c r="G79" s="341" t="s">
        <v>826</v>
      </c>
      <c r="H79" s="341" t="s">
        <v>2321</v>
      </c>
      <c r="I79" s="353">
        <v>4100.5</v>
      </c>
      <c r="J79" s="353">
        <v>48.1172</v>
      </c>
      <c r="K79" s="354">
        <f t="shared" si="4"/>
        <v>85.21900692475872</v>
      </c>
      <c r="L79" s="341">
        <v>60</v>
      </c>
      <c r="M79" s="343">
        <f t="shared" si="5"/>
        <v>68.34166666666667</v>
      </c>
      <c r="N79" s="344">
        <f ca="1" t="shared" si="6"/>
        <v>49</v>
      </c>
      <c r="O79" s="348">
        <f t="shared" si="7"/>
        <v>751.7583333333332</v>
      </c>
      <c r="P79" s="340" t="s">
        <v>2028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</row>
    <row r="80" spans="2:46" s="3" customFormat="1" ht="51.75" customHeight="1">
      <c r="B80" s="355">
        <v>43087</v>
      </c>
      <c r="C80" s="340" t="s">
        <v>2025</v>
      </c>
      <c r="D80" s="341" t="s">
        <v>2772</v>
      </c>
      <c r="E80" s="339" t="s">
        <v>3777</v>
      </c>
      <c r="F80" s="341" t="s">
        <v>2029</v>
      </c>
      <c r="G80" s="341" t="s">
        <v>826</v>
      </c>
      <c r="H80" s="341" t="s">
        <v>2321</v>
      </c>
      <c r="I80" s="353">
        <v>4100.5</v>
      </c>
      <c r="J80" s="353">
        <v>48.1172</v>
      </c>
      <c r="K80" s="354">
        <f t="shared" si="4"/>
        <v>85.21900692475872</v>
      </c>
      <c r="L80" s="341">
        <v>60</v>
      </c>
      <c r="M80" s="343">
        <f t="shared" si="5"/>
        <v>68.34166666666667</v>
      </c>
      <c r="N80" s="344">
        <f ca="1" t="shared" si="6"/>
        <v>49</v>
      </c>
      <c r="O80" s="348">
        <f t="shared" si="7"/>
        <v>751.7583333333332</v>
      </c>
      <c r="P80" s="340" t="s">
        <v>2028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</row>
    <row r="81" spans="2:46" s="3" customFormat="1" ht="66" customHeight="1">
      <c r="B81" s="355">
        <v>43087</v>
      </c>
      <c r="C81" s="340" t="s">
        <v>2025</v>
      </c>
      <c r="D81" s="341" t="s">
        <v>2773</v>
      </c>
      <c r="E81" s="339" t="s">
        <v>3776</v>
      </c>
      <c r="F81" s="341" t="s">
        <v>2030</v>
      </c>
      <c r="G81" s="341" t="s">
        <v>821</v>
      </c>
      <c r="H81" s="341" t="s">
        <v>2320</v>
      </c>
      <c r="I81" s="353">
        <v>5333.6</v>
      </c>
      <c r="J81" s="353">
        <v>48.1172</v>
      </c>
      <c r="K81" s="354">
        <f t="shared" si="4"/>
        <v>110.8460176402617</v>
      </c>
      <c r="L81" s="341">
        <v>60</v>
      </c>
      <c r="M81" s="343">
        <f t="shared" si="5"/>
        <v>88.89333333333335</v>
      </c>
      <c r="N81" s="344">
        <f ca="1" t="shared" si="6"/>
        <v>49</v>
      </c>
      <c r="O81" s="348">
        <f t="shared" si="7"/>
        <v>977.8266666666668</v>
      </c>
      <c r="P81" s="340" t="s">
        <v>2028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</row>
    <row r="82" spans="2:46" s="3" customFormat="1" ht="62.25" customHeight="1">
      <c r="B82" s="355">
        <v>43087</v>
      </c>
      <c r="C82" s="340" t="s">
        <v>2025</v>
      </c>
      <c r="D82" s="341" t="s">
        <v>2774</v>
      </c>
      <c r="E82" s="339" t="s">
        <v>3776</v>
      </c>
      <c r="F82" s="341" t="s">
        <v>2030</v>
      </c>
      <c r="G82" s="341" t="s">
        <v>826</v>
      </c>
      <c r="H82" s="341" t="s">
        <v>2321</v>
      </c>
      <c r="I82" s="353">
        <v>5333.6</v>
      </c>
      <c r="J82" s="353">
        <v>48.1172</v>
      </c>
      <c r="K82" s="354">
        <f t="shared" si="4"/>
        <v>110.8460176402617</v>
      </c>
      <c r="L82" s="341">
        <v>60</v>
      </c>
      <c r="M82" s="343">
        <f t="shared" si="5"/>
        <v>88.89333333333335</v>
      </c>
      <c r="N82" s="344">
        <f ca="1" t="shared" si="6"/>
        <v>49</v>
      </c>
      <c r="O82" s="348">
        <f t="shared" si="7"/>
        <v>977.8266666666668</v>
      </c>
      <c r="P82" s="340" t="s">
        <v>2028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</row>
    <row r="83" spans="2:46" s="3" customFormat="1" ht="63.75" customHeight="1">
      <c r="B83" s="355">
        <v>43087</v>
      </c>
      <c r="C83" s="340" t="s">
        <v>2025</v>
      </c>
      <c r="D83" s="341" t="s">
        <v>2775</v>
      </c>
      <c r="E83" s="339" t="s">
        <v>3776</v>
      </c>
      <c r="F83" s="341" t="s">
        <v>2030</v>
      </c>
      <c r="G83" s="341" t="s">
        <v>826</v>
      </c>
      <c r="H83" s="341" t="s">
        <v>2321</v>
      </c>
      <c r="I83" s="353">
        <v>5333.6</v>
      </c>
      <c r="J83" s="353">
        <v>48.1172</v>
      </c>
      <c r="K83" s="354">
        <f t="shared" si="4"/>
        <v>110.8460176402617</v>
      </c>
      <c r="L83" s="341">
        <v>60</v>
      </c>
      <c r="M83" s="343">
        <f t="shared" si="5"/>
        <v>88.89333333333335</v>
      </c>
      <c r="N83" s="344">
        <f ca="1" t="shared" si="6"/>
        <v>49</v>
      </c>
      <c r="O83" s="348">
        <f t="shared" si="7"/>
        <v>977.8266666666668</v>
      </c>
      <c r="P83" s="340" t="s">
        <v>2028</v>
      </c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</row>
    <row r="84" spans="2:46" s="3" customFormat="1" ht="75.75" customHeight="1">
      <c r="B84" s="355">
        <v>43087</v>
      </c>
      <c r="C84" s="340" t="s">
        <v>2025</v>
      </c>
      <c r="D84" s="341" t="s">
        <v>2776</v>
      </c>
      <c r="E84" s="339" t="s">
        <v>3776</v>
      </c>
      <c r="F84" s="341" t="s">
        <v>2030</v>
      </c>
      <c r="G84" s="341" t="s">
        <v>2322</v>
      </c>
      <c r="H84" s="341" t="s">
        <v>2323</v>
      </c>
      <c r="I84" s="353">
        <v>5333.6</v>
      </c>
      <c r="J84" s="353">
        <v>48.1172</v>
      </c>
      <c r="K84" s="354">
        <f t="shared" si="4"/>
        <v>110.8460176402617</v>
      </c>
      <c r="L84" s="341">
        <v>60</v>
      </c>
      <c r="M84" s="343">
        <f t="shared" si="5"/>
        <v>88.89333333333335</v>
      </c>
      <c r="N84" s="344">
        <f ca="1" t="shared" si="6"/>
        <v>49</v>
      </c>
      <c r="O84" s="348">
        <f t="shared" si="7"/>
        <v>977.8266666666668</v>
      </c>
      <c r="P84" s="340" t="s">
        <v>2028</v>
      </c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</row>
    <row r="85" spans="2:46" s="3" customFormat="1" ht="72" customHeight="1">
      <c r="B85" s="355">
        <v>43087</v>
      </c>
      <c r="C85" s="340" t="s">
        <v>2025</v>
      </c>
      <c r="D85" s="341" t="s">
        <v>2777</v>
      </c>
      <c r="E85" s="339" t="s">
        <v>2314</v>
      </c>
      <c r="F85" s="341" t="s">
        <v>2030</v>
      </c>
      <c r="G85" s="341" t="s">
        <v>2322</v>
      </c>
      <c r="H85" s="341" t="s">
        <v>2323</v>
      </c>
      <c r="I85" s="353">
        <v>5333.6</v>
      </c>
      <c r="J85" s="353">
        <v>48.1172</v>
      </c>
      <c r="K85" s="354">
        <f t="shared" si="4"/>
        <v>110.8460176402617</v>
      </c>
      <c r="L85" s="341">
        <v>60</v>
      </c>
      <c r="M85" s="343">
        <f t="shared" si="5"/>
        <v>88.89333333333335</v>
      </c>
      <c r="N85" s="344">
        <f ca="1" t="shared" si="6"/>
        <v>49</v>
      </c>
      <c r="O85" s="348">
        <f t="shared" si="7"/>
        <v>977.8266666666668</v>
      </c>
      <c r="P85" s="340" t="s">
        <v>2028</v>
      </c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</row>
    <row r="86" spans="2:46" s="3" customFormat="1" ht="66" customHeight="1">
      <c r="B86" s="355">
        <v>43087</v>
      </c>
      <c r="C86" s="340" t="s">
        <v>2025</v>
      </c>
      <c r="D86" s="341" t="s">
        <v>2778</v>
      </c>
      <c r="E86" s="339" t="s">
        <v>3776</v>
      </c>
      <c r="F86" s="341" t="s">
        <v>2030</v>
      </c>
      <c r="G86" s="341" t="s">
        <v>2865</v>
      </c>
      <c r="H86" s="341" t="s">
        <v>2325</v>
      </c>
      <c r="I86" s="353">
        <v>5333.6</v>
      </c>
      <c r="J86" s="353">
        <v>48.1172</v>
      </c>
      <c r="K86" s="354">
        <f t="shared" si="4"/>
        <v>110.8460176402617</v>
      </c>
      <c r="L86" s="341">
        <v>60</v>
      </c>
      <c r="M86" s="343">
        <f t="shared" si="5"/>
        <v>88.89333333333335</v>
      </c>
      <c r="N86" s="344">
        <f ca="1" t="shared" si="6"/>
        <v>49</v>
      </c>
      <c r="O86" s="348">
        <f t="shared" si="7"/>
        <v>977.8266666666668</v>
      </c>
      <c r="P86" s="340" t="s">
        <v>2028</v>
      </c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</row>
    <row r="87" spans="2:46" s="3" customFormat="1" ht="62.25" customHeight="1">
      <c r="B87" s="355">
        <v>43087</v>
      </c>
      <c r="C87" s="340" t="s">
        <v>2025</v>
      </c>
      <c r="D87" s="341" t="s">
        <v>2779</v>
      </c>
      <c r="E87" s="339" t="s">
        <v>2314</v>
      </c>
      <c r="F87" s="341" t="s">
        <v>2030</v>
      </c>
      <c r="G87" s="341" t="s">
        <v>2865</v>
      </c>
      <c r="H87" s="341" t="s">
        <v>2325</v>
      </c>
      <c r="I87" s="353">
        <v>5333.6</v>
      </c>
      <c r="J87" s="353">
        <v>48.1172</v>
      </c>
      <c r="K87" s="354">
        <f t="shared" si="4"/>
        <v>110.8460176402617</v>
      </c>
      <c r="L87" s="341">
        <v>60</v>
      </c>
      <c r="M87" s="343">
        <f t="shared" si="5"/>
        <v>88.89333333333335</v>
      </c>
      <c r="N87" s="344">
        <f ca="1" t="shared" si="6"/>
        <v>49</v>
      </c>
      <c r="O87" s="348">
        <f t="shared" si="7"/>
        <v>977.8266666666668</v>
      </c>
      <c r="P87" s="340" t="s">
        <v>2028</v>
      </c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</row>
    <row r="88" spans="2:46" s="3" customFormat="1" ht="75.75" customHeight="1">
      <c r="B88" s="355">
        <v>43087</v>
      </c>
      <c r="C88" s="340" t="s">
        <v>2025</v>
      </c>
      <c r="D88" s="341" t="s">
        <v>2780</v>
      </c>
      <c r="E88" s="339" t="s">
        <v>2031</v>
      </c>
      <c r="F88" s="341" t="s">
        <v>2032</v>
      </c>
      <c r="G88" s="341" t="s">
        <v>821</v>
      </c>
      <c r="H88" s="341" t="s">
        <v>2320</v>
      </c>
      <c r="I88" s="353">
        <v>13275</v>
      </c>
      <c r="J88" s="353">
        <v>48.1172</v>
      </c>
      <c r="K88" s="354">
        <f t="shared" si="4"/>
        <v>275.88887133914693</v>
      </c>
      <c r="L88" s="341">
        <v>60</v>
      </c>
      <c r="M88" s="343">
        <f t="shared" si="5"/>
        <v>221.25</v>
      </c>
      <c r="N88" s="344">
        <f ca="1" t="shared" si="6"/>
        <v>49</v>
      </c>
      <c r="O88" s="348">
        <f t="shared" si="7"/>
        <v>2433.75</v>
      </c>
      <c r="P88" s="340" t="s">
        <v>2028</v>
      </c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</row>
    <row r="89" spans="2:46" s="3" customFormat="1" ht="72.75" customHeight="1">
      <c r="B89" s="355">
        <v>43087</v>
      </c>
      <c r="C89" s="340" t="s">
        <v>2025</v>
      </c>
      <c r="D89" s="341" t="s">
        <v>2781</v>
      </c>
      <c r="E89" s="339" t="s">
        <v>2031</v>
      </c>
      <c r="F89" s="341" t="s">
        <v>2032</v>
      </c>
      <c r="G89" s="341" t="s">
        <v>821</v>
      </c>
      <c r="H89" s="341" t="s">
        <v>2320</v>
      </c>
      <c r="I89" s="353">
        <v>13275</v>
      </c>
      <c r="J89" s="353">
        <v>48.1172</v>
      </c>
      <c r="K89" s="354">
        <f t="shared" si="4"/>
        <v>275.88887133914693</v>
      </c>
      <c r="L89" s="341">
        <v>60</v>
      </c>
      <c r="M89" s="343">
        <f t="shared" si="5"/>
        <v>221.25</v>
      </c>
      <c r="N89" s="344">
        <f ca="1" t="shared" si="6"/>
        <v>49</v>
      </c>
      <c r="O89" s="348">
        <f t="shared" si="7"/>
        <v>2433.75</v>
      </c>
      <c r="P89" s="340" t="s">
        <v>2028</v>
      </c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</row>
    <row r="90" spans="2:46" s="3" customFormat="1" ht="61.5" customHeight="1">
      <c r="B90" s="355">
        <v>43087</v>
      </c>
      <c r="C90" s="340" t="s">
        <v>2025</v>
      </c>
      <c r="D90" s="341" t="s">
        <v>2782</v>
      </c>
      <c r="E90" s="339" t="s">
        <v>2031</v>
      </c>
      <c r="F90" s="341" t="s">
        <v>2032</v>
      </c>
      <c r="G90" s="341" t="s">
        <v>826</v>
      </c>
      <c r="H90" s="341" t="s">
        <v>2321</v>
      </c>
      <c r="I90" s="353">
        <v>13275</v>
      </c>
      <c r="J90" s="353">
        <v>48.1172</v>
      </c>
      <c r="K90" s="354">
        <f t="shared" si="4"/>
        <v>275.88887133914693</v>
      </c>
      <c r="L90" s="341">
        <v>60</v>
      </c>
      <c r="M90" s="343">
        <f t="shared" si="5"/>
        <v>221.25</v>
      </c>
      <c r="N90" s="344">
        <f ca="1" t="shared" si="6"/>
        <v>49</v>
      </c>
      <c r="O90" s="348">
        <f t="shared" si="7"/>
        <v>2433.75</v>
      </c>
      <c r="P90" s="340" t="s">
        <v>2028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</row>
    <row r="91" spans="2:46" s="3" customFormat="1" ht="70.5" customHeight="1">
      <c r="B91" s="355">
        <v>43087</v>
      </c>
      <c r="C91" s="340" t="s">
        <v>2025</v>
      </c>
      <c r="D91" s="341" t="s">
        <v>2783</v>
      </c>
      <c r="E91" s="339" t="s">
        <v>2031</v>
      </c>
      <c r="F91" s="341" t="s">
        <v>2032</v>
      </c>
      <c r="G91" s="341" t="s">
        <v>826</v>
      </c>
      <c r="H91" s="341" t="s">
        <v>2321</v>
      </c>
      <c r="I91" s="353">
        <v>13275</v>
      </c>
      <c r="J91" s="353">
        <v>48.1172</v>
      </c>
      <c r="K91" s="354">
        <f t="shared" si="4"/>
        <v>275.88887133914693</v>
      </c>
      <c r="L91" s="341">
        <v>60</v>
      </c>
      <c r="M91" s="343">
        <f t="shared" si="5"/>
        <v>221.25</v>
      </c>
      <c r="N91" s="344">
        <f ca="1" t="shared" si="6"/>
        <v>49</v>
      </c>
      <c r="O91" s="348">
        <f t="shared" si="7"/>
        <v>2433.75</v>
      </c>
      <c r="P91" s="340" t="s">
        <v>2028</v>
      </c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</row>
    <row r="92" spans="2:46" s="3" customFormat="1" ht="67.5" customHeight="1">
      <c r="B92" s="355">
        <v>43087</v>
      </c>
      <c r="C92" s="340" t="s">
        <v>2025</v>
      </c>
      <c r="D92" s="341" t="s">
        <v>2784</v>
      </c>
      <c r="E92" s="339" t="s">
        <v>2031</v>
      </c>
      <c r="F92" s="341" t="s">
        <v>2032</v>
      </c>
      <c r="G92" s="341" t="s">
        <v>2322</v>
      </c>
      <c r="H92" s="341" t="s">
        <v>2323</v>
      </c>
      <c r="I92" s="353">
        <v>13275</v>
      </c>
      <c r="J92" s="353">
        <v>48.1172</v>
      </c>
      <c r="K92" s="354">
        <f aca="true" t="shared" si="8" ref="K92:K151">+I92/J92</f>
        <v>275.88887133914693</v>
      </c>
      <c r="L92" s="341">
        <v>60</v>
      </c>
      <c r="M92" s="343">
        <f aca="true" t="shared" si="9" ref="M92:M151">IF(AND(I92&lt;&gt;0,L92&lt;&gt;0),I92/L92,0)</f>
        <v>221.25</v>
      </c>
      <c r="N92" s="344">
        <f aca="true" ca="1" t="shared" si="10" ref="N92:N155">IF(B92&lt;&gt;0,(ROUND((NOW()-B92)/30,0)),0)</f>
        <v>49</v>
      </c>
      <c r="O92" s="348">
        <f aca="true" t="shared" si="11" ref="O92:O155">IF(OR(I92=0,L92=0,N92=0),0,I92-(M92*N92))</f>
        <v>2433.75</v>
      </c>
      <c r="P92" s="340" t="s">
        <v>2028</v>
      </c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</row>
    <row r="93" spans="2:46" s="3" customFormat="1" ht="76.5" customHeight="1">
      <c r="B93" s="355">
        <v>43087</v>
      </c>
      <c r="C93" s="340" t="s">
        <v>2025</v>
      </c>
      <c r="D93" s="341" t="s">
        <v>2785</v>
      </c>
      <c r="E93" s="339" t="s">
        <v>2031</v>
      </c>
      <c r="F93" s="341" t="s">
        <v>2032</v>
      </c>
      <c r="G93" s="341" t="s">
        <v>2322</v>
      </c>
      <c r="H93" s="341" t="s">
        <v>2323</v>
      </c>
      <c r="I93" s="353">
        <v>13275</v>
      </c>
      <c r="J93" s="353">
        <v>48.1172</v>
      </c>
      <c r="K93" s="354">
        <f t="shared" si="8"/>
        <v>275.88887133914693</v>
      </c>
      <c r="L93" s="341">
        <v>60</v>
      </c>
      <c r="M93" s="343">
        <f t="shared" si="9"/>
        <v>221.25</v>
      </c>
      <c r="N93" s="344">
        <f ca="1" t="shared" si="10"/>
        <v>49</v>
      </c>
      <c r="O93" s="348">
        <f t="shared" si="11"/>
        <v>2433.75</v>
      </c>
      <c r="P93" s="340" t="s">
        <v>2028</v>
      </c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</row>
    <row r="94" spans="2:46" s="3" customFormat="1" ht="63.75" customHeight="1">
      <c r="B94" s="355">
        <v>43087</v>
      </c>
      <c r="C94" s="340" t="s">
        <v>2025</v>
      </c>
      <c r="D94" s="341" t="s">
        <v>2786</v>
      </c>
      <c r="E94" s="339" t="s">
        <v>2031</v>
      </c>
      <c r="F94" s="341" t="s">
        <v>2032</v>
      </c>
      <c r="G94" s="341" t="s">
        <v>2865</v>
      </c>
      <c r="H94" s="341" t="s">
        <v>2325</v>
      </c>
      <c r="I94" s="353">
        <v>13275</v>
      </c>
      <c r="J94" s="353">
        <v>48.1172</v>
      </c>
      <c r="K94" s="354">
        <f t="shared" si="8"/>
        <v>275.88887133914693</v>
      </c>
      <c r="L94" s="341">
        <v>60</v>
      </c>
      <c r="M94" s="343">
        <f t="shared" si="9"/>
        <v>221.25</v>
      </c>
      <c r="N94" s="344">
        <f ca="1" t="shared" si="10"/>
        <v>49</v>
      </c>
      <c r="O94" s="348">
        <f t="shared" si="11"/>
        <v>2433.75</v>
      </c>
      <c r="P94" s="340" t="s">
        <v>2028</v>
      </c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</row>
    <row r="95" spans="2:46" s="3" customFormat="1" ht="62.25" customHeight="1">
      <c r="B95" s="355">
        <v>43087</v>
      </c>
      <c r="C95" s="340" t="s">
        <v>2025</v>
      </c>
      <c r="D95" s="341" t="s">
        <v>2787</v>
      </c>
      <c r="E95" s="339" t="s">
        <v>2031</v>
      </c>
      <c r="F95" s="341" t="s">
        <v>2032</v>
      </c>
      <c r="G95" s="341" t="s">
        <v>2865</v>
      </c>
      <c r="H95" s="341" t="s">
        <v>2325</v>
      </c>
      <c r="I95" s="353">
        <v>13275</v>
      </c>
      <c r="J95" s="353">
        <v>48.1172</v>
      </c>
      <c r="K95" s="354">
        <f t="shared" si="8"/>
        <v>275.88887133914693</v>
      </c>
      <c r="L95" s="341">
        <v>60</v>
      </c>
      <c r="M95" s="343">
        <f t="shared" si="9"/>
        <v>221.25</v>
      </c>
      <c r="N95" s="344">
        <f ca="1" t="shared" si="10"/>
        <v>49</v>
      </c>
      <c r="O95" s="348">
        <f t="shared" si="11"/>
        <v>2433.75</v>
      </c>
      <c r="P95" s="340" t="s">
        <v>2028</v>
      </c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</row>
    <row r="96" spans="2:46" s="3" customFormat="1" ht="73.5" customHeight="1">
      <c r="B96" s="355">
        <v>43087</v>
      </c>
      <c r="C96" s="340" t="s">
        <v>2025</v>
      </c>
      <c r="D96" s="341" t="s">
        <v>2788</v>
      </c>
      <c r="E96" s="339" t="s">
        <v>2033</v>
      </c>
      <c r="F96" s="341" t="s">
        <v>42</v>
      </c>
      <c r="G96" s="341" t="s">
        <v>821</v>
      </c>
      <c r="H96" s="341" t="s">
        <v>2320</v>
      </c>
      <c r="I96" s="353">
        <v>2301</v>
      </c>
      <c r="J96" s="353">
        <v>48.1172</v>
      </c>
      <c r="K96" s="354">
        <f t="shared" si="8"/>
        <v>47.82073769878547</v>
      </c>
      <c r="L96" s="341">
        <v>60</v>
      </c>
      <c r="M96" s="343">
        <f t="shared" si="9"/>
        <v>38.35</v>
      </c>
      <c r="N96" s="344">
        <f ca="1" t="shared" si="10"/>
        <v>49</v>
      </c>
      <c r="O96" s="348">
        <f t="shared" si="11"/>
        <v>421.8499999999999</v>
      </c>
      <c r="P96" s="340" t="s">
        <v>2028</v>
      </c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</row>
    <row r="97" spans="2:46" s="3" customFormat="1" ht="73.5" customHeight="1">
      <c r="B97" s="355">
        <v>43087</v>
      </c>
      <c r="C97" s="340" t="s">
        <v>2025</v>
      </c>
      <c r="D97" s="341" t="s">
        <v>2789</v>
      </c>
      <c r="E97" s="339" t="s">
        <v>2033</v>
      </c>
      <c r="F97" s="341" t="s">
        <v>42</v>
      </c>
      <c r="G97" s="341" t="s">
        <v>821</v>
      </c>
      <c r="H97" s="341" t="s">
        <v>2320</v>
      </c>
      <c r="I97" s="353">
        <v>2301</v>
      </c>
      <c r="J97" s="353">
        <v>48.1172</v>
      </c>
      <c r="K97" s="354">
        <f t="shared" si="8"/>
        <v>47.82073769878547</v>
      </c>
      <c r="L97" s="341">
        <v>60</v>
      </c>
      <c r="M97" s="343">
        <f t="shared" si="9"/>
        <v>38.35</v>
      </c>
      <c r="N97" s="344">
        <f ca="1" t="shared" si="10"/>
        <v>49</v>
      </c>
      <c r="O97" s="348">
        <f t="shared" si="11"/>
        <v>421.8499999999999</v>
      </c>
      <c r="P97" s="340" t="s">
        <v>2028</v>
      </c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</row>
    <row r="98" spans="2:46" s="3" customFormat="1" ht="66" customHeight="1">
      <c r="B98" s="355">
        <v>43087</v>
      </c>
      <c r="C98" s="340" t="s">
        <v>2025</v>
      </c>
      <c r="D98" s="341" t="s">
        <v>2790</v>
      </c>
      <c r="E98" s="339" t="s">
        <v>2033</v>
      </c>
      <c r="F98" s="341" t="s">
        <v>42</v>
      </c>
      <c r="G98" s="341" t="s">
        <v>826</v>
      </c>
      <c r="H98" s="341" t="s">
        <v>2321</v>
      </c>
      <c r="I98" s="353">
        <v>2301</v>
      </c>
      <c r="J98" s="353">
        <v>48.1172</v>
      </c>
      <c r="K98" s="354">
        <f t="shared" si="8"/>
        <v>47.82073769878547</v>
      </c>
      <c r="L98" s="341">
        <v>60</v>
      </c>
      <c r="M98" s="343">
        <f t="shared" si="9"/>
        <v>38.35</v>
      </c>
      <c r="N98" s="344">
        <f ca="1" t="shared" si="10"/>
        <v>49</v>
      </c>
      <c r="O98" s="348">
        <f t="shared" si="11"/>
        <v>421.8499999999999</v>
      </c>
      <c r="P98" s="340" t="s">
        <v>2028</v>
      </c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</row>
    <row r="99" spans="2:46" s="3" customFormat="1" ht="66" customHeight="1">
      <c r="B99" s="355">
        <v>43087</v>
      </c>
      <c r="C99" s="340" t="s">
        <v>2025</v>
      </c>
      <c r="D99" s="341" t="s">
        <v>2791</v>
      </c>
      <c r="E99" s="339" t="s">
        <v>2033</v>
      </c>
      <c r="F99" s="341" t="s">
        <v>42</v>
      </c>
      <c r="G99" s="341" t="s">
        <v>826</v>
      </c>
      <c r="H99" s="341" t="s">
        <v>2321</v>
      </c>
      <c r="I99" s="353">
        <v>2301</v>
      </c>
      <c r="J99" s="353">
        <v>48.1172</v>
      </c>
      <c r="K99" s="354">
        <f t="shared" si="8"/>
        <v>47.82073769878547</v>
      </c>
      <c r="L99" s="341">
        <v>60</v>
      </c>
      <c r="M99" s="343">
        <f t="shared" si="9"/>
        <v>38.35</v>
      </c>
      <c r="N99" s="344">
        <f ca="1" t="shared" si="10"/>
        <v>49</v>
      </c>
      <c r="O99" s="348">
        <f t="shared" si="11"/>
        <v>421.8499999999999</v>
      </c>
      <c r="P99" s="340" t="s">
        <v>2028</v>
      </c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</row>
    <row r="100" spans="2:46" s="3" customFormat="1" ht="75" customHeight="1">
      <c r="B100" s="355">
        <v>43087</v>
      </c>
      <c r="C100" s="340" t="s">
        <v>2025</v>
      </c>
      <c r="D100" s="341" t="s">
        <v>2792</v>
      </c>
      <c r="E100" s="339" t="s">
        <v>2033</v>
      </c>
      <c r="F100" s="341" t="s">
        <v>42</v>
      </c>
      <c r="G100" s="341" t="s">
        <v>2322</v>
      </c>
      <c r="H100" s="341" t="s">
        <v>2323</v>
      </c>
      <c r="I100" s="353">
        <v>2301</v>
      </c>
      <c r="J100" s="353">
        <v>48.1172</v>
      </c>
      <c r="K100" s="354">
        <f t="shared" si="8"/>
        <v>47.82073769878547</v>
      </c>
      <c r="L100" s="341">
        <v>60</v>
      </c>
      <c r="M100" s="343">
        <f t="shared" si="9"/>
        <v>38.35</v>
      </c>
      <c r="N100" s="344">
        <f ca="1" t="shared" si="10"/>
        <v>49</v>
      </c>
      <c r="O100" s="348">
        <f t="shared" si="11"/>
        <v>421.8499999999999</v>
      </c>
      <c r="P100" s="340" t="s">
        <v>2028</v>
      </c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</row>
    <row r="101" spans="2:46" s="3" customFormat="1" ht="73.5" customHeight="1">
      <c r="B101" s="355">
        <v>43087</v>
      </c>
      <c r="C101" s="340" t="s">
        <v>2025</v>
      </c>
      <c r="D101" s="341" t="s">
        <v>2793</v>
      </c>
      <c r="E101" s="339" t="s">
        <v>2033</v>
      </c>
      <c r="F101" s="341" t="s">
        <v>42</v>
      </c>
      <c r="G101" s="341" t="s">
        <v>2322</v>
      </c>
      <c r="H101" s="341" t="s">
        <v>2323</v>
      </c>
      <c r="I101" s="353">
        <v>2301</v>
      </c>
      <c r="J101" s="353">
        <v>48.1172</v>
      </c>
      <c r="K101" s="354">
        <f t="shared" si="8"/>
        <v>47.82073769878547</v>
      </c>
      <c r="L101" s="341">
        <v>60</v>
      </c>
      <c r="M101" s="343">
        <f t="shared" si="9"/>
        <v>38.35</v>
      </c>
      <c r="N101" s="344">
        <f ca="1" t="shared" si="10"/>
        <v>49</v>
      </c>
      <c r="O101" s="348">
        <f t="shared" si="11"/>
        <v>421.8499999999999</v>
      </c>
      <c r="P101" s="340" t="s">
        <v>2028</v>
      </c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</row>
    <row r="102" spans="2:46" s="3" customFormat="1" ht="68.25" customHeight="1">
      <c r="B102" s="355">
        <v>43087</v>
      </c>
      <c r="C102" s="340" t="s">
        <v>2025</v>
      </c>
      <c r="D102" s="341" t="s">
        <v>2794</v>
      </c>
      <c r="E102" s="339" t="s">
        <v>2033</v>
      </c>
      <c r="F102" s="341" t="s">
        <v>42</v>
      </c>
      <c r="G102" s="341" t="s">
        <v>2865</v>
      </c>
      <c r="H102" s="341" t="s">
        <v>2325</v>
      </c>
      <c r="I102" s="353">
        <v>2301</v>
      </c>
      <c r="J102" s="353">
        <v>48.1172</v>
      </c>
      <c r="K102" s="354">
        <f t="shared" si="8"/>
        <v>47.82073769878547</v>
      </c>
      <c r="L102" s="341">
        <v>60</v>
      </c>
      <c r="M102" s="343">
        <f t="shared" si="9"/>
        <v>38.35</v>
      </c>
      <c r="N102" s="344">
        <f ca="1" t="shared" si="10"/>
        <v>49</v>
      </c>
      <c r="O102" s="348">
        <f t="shared" si="11"/>
        <v>421.8499999999999</v>
      </c>
      <c r="P102" s="340" t="s">
        <v>2028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</row>
    <row r="103" spans="2:46" s="3" customFormat="1" ht="63.75" customHeight="1">
      <c r="B103" s="355">
        <v>43087</v>
      </c>
      <c r="C103" s="340" t="s">
        <v>2025</v>
      </c>
      <c r="D103" s="341" t="s">
        <v>2795</v>
      </c>
      <c r="E103" s="339" t="s">
        <v>2033</v>
      </c>
      <c r="F103" s="341" t="s">
        <v>42</v>
      </c>
      <c r="G103" s="341" t="s">
        <v>2865</v>
      </c>
      <c r="H103" s="341" t="s">
        <v>2325</v>
      </c>
      <c r="I103" s="353">
        <v>2301</v>
      </c>
      <c r="J103" s="353">
        <v>48.1172</v>
      </c>
      <c r="K103" s="354">
        <f t="shared" si="8"/>
        <v>47.82073769878547</v>
      </c>
      <c r="L103" s="341">
        <v>60</v>
      </c>
      <c r="M103" s="343">
        <f t="shared" si="9"/>
        <v>38.35</v>
      </c>
      <c r="N103" s="344">
        <f ca="1" t="shared" si="10"/>
        <v>49</v>
      </c>
      <c r="O103" s="348">
        <f t="shared" si="11"/>
        <v>421.8499999999999</v>
      </c>
      <c r="P103" s="340" t="s">
        <v>2028</v>
      </c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</row>
    <row r="104" spans="2:46" s="3" customFormat="1" ht="79.5" customHeight="1">
      <c r="B104" s="355">
        <v>43087</v>
      </c>
      <c r="C104" s="340" t="s">
        <v>2034</v>
      </c>
      <c r="D104" s="341" t="s">
        <v>2796</v>
      </c>
      <c r="E104" s="339" t="s">
        <v>2035</v>
      </c>
      <c r="F104" s="341" t="s">
        <v>2036</v>
      </c>
      <c r="G104" s="341" t="s">
        <v>821</v>
      </c>
      <c r="H104" s="341" t="s">
        <v>2320</v>
      </c>
      <c r="I104" s="353">
        <v>32025</v>
      </c>
      <c r="J104" s="353">
        <v>48.1172</v>
      </c>
      <c r="K104" s="354">
        <f t="shared" si="8"/>
        <v>665.5624184283375</v>
      </c>
      <c r="L104" s="341">
        <v>60</v>
      </c>
      <c r="M104" s="343">
        <f t="shared" si="9"/>
        <v>533.75</v>
      </c>
      <c r="N104" s="344">
        <f ca="1" t="shared" si="10"/>
        <v>49</v>
      </c>
      <c r="O104" s="348">
        <f t="shared" si="11"/>
        <v>5871.25</v>
      </c>
      <c r="P104" s="340" t="s">
        <v>746</v>
      </c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</row>
    <row r="105" spans="2:46" s="3" customFormat="1" ht="79.5" customHeight="1">
      <c r="B105" s="355">
        <v>43087</v>
      </c>
      <c r="C105" s="340" t="s">
        <v>2034</v>
      </c>
      <c r="D105" s="341" t="s">
        <v>2797</v>
      </c>
      <c r="E105" s="339" t="s">
        <v>2035</v>
      </c>
      <c r="F105" s="341" t="s">
        <v>2037</v>
      </c>
      <c r="G105" s="341" t="s">
        <v>821</v>
      </c>
      <c r="H105" s="341" t="s">
        <v>2320</v>
      </c>
      <c r="I105" s="353">
        <v>32025</v>
      </c>
      <c r="J105" s="353">
        <v>48.1172</v>
      </c>
      <c r="K105" s="354">
        <f t="shared" si="8"/>
        <v>665.5624184283375</v>
      </c>
      <c r="L105" s="341">
        <v>60</v>
      </c>
      <c r="M105" s="343">
        <f t="shared" si="9"/>
        <v>533.75</v>
      </c>
      <c r="N105" s="344">
        <f ca="1" t="shared" si="10"/>
        <v>49</v>
      </c>
      <c r="O105" s="348">
        <f t="shared" si="11"/>
        <v>5871.25</v>
      </c>
      <c r="P105" s="340" t="s">
        <v>746</v>
      </c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</row>
    <row r="106" spans="2:46" s="3" customFormat="1" ht="65.25" customHeight="1">
      <c r="B106" s="355">
        <v>43087</v>
      </c>
      <c r="C106" s="340" t="s">
        <v>2034</v>
      </c>
      <c r="D106" s="341" t="s">
        <v>2798</v>
      </c>
      <c r="E106" s="339" t="s">
        <v>2035</v>
      </c>
      <c r="F106" s="341" t="s">
        <v>2038</v>
      </c>
      <c r="G106" s="341" t="s">
        <v>826</v>
      </c>
      <c r="H106" s="341" t="s">
        <v>2321</v>
      </c>
      <c r="I106" s="353">
        <v>32025</v>
      </c>
      <c r="J106" s="353">
        <v>48.1172</v>
      </c>
      <c r="K106" s="354">
        <f t="shared" si="8"/>
        <v>665.5624184283375</v>
      </c>
      <c r="L106" s="341">
        <v>60</v>
      </c>
      <c r="M106" s="343">
        <f t="shared" si="9"/>
        <v>533.75</v>
      </c>
      <c r="N106" s="344">
        <f ca="1" t="shared" si="10"/>
        <v>49</v>
      </c>
      <c r="O106" s="348">
        <f t="shared" si="11"/>
        <v>5871.25</v>
      </c>
      <c r="P106" s="340" t="s">
        <v>746</v>
      </c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</row>
    <row r="107" spans="2:46" s="3" customFormat="1" ht="72.75" customHeight="1">
      <c r="B107" s="355">
        <v>43087</v>
      </c>
      <c r="C107" s="340" t="s">
        <v>2034</v>
      </c>
      <c r="D107" s="341" t="s">
        <v>2799</v>
      </c>
      <c r="E107" s="339" t="s">
        <v>2035</v>
      </c>
      <c r="F107" s="341" t="s">
        <v>2039</v>
      </c>
      <c r="G107" s="341" t="s">
        <v>826</v>
      </c>
      <c r="H107" s="341" t="s">
        <v>2321</v>
      </c>
      <c r="I107" s="353">
        <v>32025</v>
      </c>
      <c r="J107" s="353">
        <v>48.1172</v>
      </c>
      <c r="K107" s="354">
        <f t="shared" si="8"/>
        <v>665.5624184283375</v>
      </c>
      <c r="L107" s="341">
        <v>60</v>
      </c>
      <c r="M107" s="343">
        <f t="shared" si="9"/>
        <v>533.75</v>
      </c>
      <c r="N107" s="344">
        <f ca="1" t="shared" si="10"/>
        <v>49</v>
      </c>
      <c r="O107" s="348">
        <f t="shared" si="11"/>
        <v>5871.25</v>
      </c>
      <c r="P107" s="340" t="s">
        <v>746</v>
      </c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</row>
    <row r="108" spans="2:46" s="3" customFormat="1" ht="65.25" customHeight="1">
      <c r="B108" s="355">
        <v>43087</v>
      </c>
      <c r="C108" s="340" t="s">
        <v>2034</v>
      </c>
      <c r="D108" s="341" t="s">
        <v>2800</v>
      </c>
      <c r="E108" s="339" t="s">
        <v>2035</v>
      </c>
      <c r="F108" s="341" t="s">
        <v>2040</v>
      </c>
      <c r="G108" s="341" t="s">
        <v>2865</v>
      </c>
      <c r="H108" s="341" t="s">
        <v>2325</v>
      </c>
      <c r="I108" s="353">
        <v>32025</v>
      </c>
      <c r="J108" s="353">
        <v>48.1172</v>
      </c>
      <c r="K108" s="354">
        <f t="shared" si="8"/>
        <v>665.5624184283375</v>
      </c>
      <c r="L108" s="341">
        <v>60</v>
      </c>
      <c r="M108" s="343">
        <f t="shared" si="9"/>
        <v>533.75</v>
      </c>
      <c r="N108" s="344">
        <f ca="1" t="shared" si="10"/>
        <v>49</v>
      </c>
      <c r="O108" s="348">
        <f t="shared" si="11"/>
        <v>5871.25</v>
      </c>
      <c r="P108" s="340" t="s">
        <v>746</v>
      </c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</row>
    <row r="109" spans="2:46" s="3" customFormat="1" ht="66.75" customHeight="1">
      <c r="B109" s="355">
        <v>43087</v>
      </c>
      <c r="C109" s="340" t="s">
        <v>2034</v>
      </c>
      <c r="D109" s="341" t="s">
        <v>2801</v>
      </c>
      <c r="E109" s="339" t="s">
        <v>2035</v>
      </c>
      <c r="F109" s="341" t="s">
        <v>2041</v>
      </c>
      <c r="G109" s="341" t="s">
        <v>2865</v>
      </c>
      <c r="H109" s="341" t="s">
        <v>2325</v>
      </c>
      <c r="I109" s="353">
        <v>32025</v>
      </c>
      <c r="J109" s="353">
        <v>48.1172</v>
      </c>
      <c r="K109" s="354">
        <f t="shared" si="8"/>
        <v>665.5624184283375</v>
      </c>
      <c r="L109" s="341">
        <v>60</v>
      </c>
      <c r="M109" s="343">
        <f t="shared" si="9"/>
        <v>533.75</v>
      </c>
      <c r="N109" s="344">
        <f ca="1" t="shared" si="10"/>
        <v>49</v>
      </c>
      <c r="O109" s="348">
        <f t="shared" si="11"/>
        <v>5871.25</v>
      </c>
      <c r="P109" s="340" t="s">
        <v>746</v>
      </c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</row>
    <row r="110" spans="2:46" s="3" customFormat="1" ht="81.75" customHeight="1">
      <c r="B110" s="355">
        <v>43087</v>
      </c>
      <c r="C110" s="340" t="s">
        <v>2034</v>
      </c>
      <c r="D110" s="341" t="s">
        <v>2802</v>
      </c>
      <c r="E110" s="339" t="s">
        <v>2035</v>
      </c>
      <c r="F110" s="341" t="s">
        <v>2042</v>
      </c>
      <c r="G110" s="341" t="s">
        <v>2322</v>
      </c>
      <c r="H110" s="341" t="s">
        <v>2323</v>
      </c>
      <c r="I110" s="353">
        <v>32025</v>
      </c>
      <c r="J110" s="353">
        <v>48.1172</v>
      </c>
      <c r="K110" s="354">
        <f t="shared" si="8"/>
        <v>665.5624184283375</v>
      </c>
      <c r="L110" s="341">
        <v>60</v>
      </c>
      <c r="M110" s="343">
        <f t="shared" si="9"/>
        <v>533.75</v>
      </c>
      <c r="N110" s="344">
        <f ca="1" t="shared" si="10"/>
        <v>49</v>
      </c>
      <c r="O110" s="348">
        <f t="shared" si="11"/>
        <v>5871.25</v>
      </c>
      <c r="P110" s="340" t="s">
        <v>746</v>
      </c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</row>
    <row r="111" spans="2:46" s="3" customFormat="1" ht="78" customHeight="1">
      <c r="B111" s="355">
        <v>43087</v>
      </c>
      <c r="C111" s="340" t="s">
        <v>2034</v>
      </c>
      <c r="D111" s="341" t="s">
        <v>2803</v>
      </c>
      <c r="E111" s="339" t="s">
        <v>2035</v>
      </c>
      <c r="F111" s="341" t="s">
        <v>2043</v>
      </c>
      <c r="G111" s="341" t="s">
        <v>2322</v>
      </c>
      <c r="H111" s="341" t="s">
        <v>2323</v>
      </c>
      <c r="I111" s="353">
        <v>32025</v>
      </c>
      <c r="J111" s="353">
        <v>48.1172</v>
      </c>
      <c r="K111" s="354">
        <f t="shared" si="8"/>
        <v>665.5624184283375</v>
      </c>
      <c r="L111" s="341">
        <v>60</v>
      </c>
      <c r="M111" s="343">
        <f t="shared" si="9"/>
        <v>533.75</v>
      </c>
      <c r="N111" s="344">
        <f ca="1" t="shared" si="10"/>
        <v>49</v>
      </c>
      <c r="O111" s="348">
        <f t="shared" si="11"/>
        <v>5871.25</v>
      </c>
      <c r="P111" s="340" t="s">
        <v>746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</row>
    <row r="112" spans="2:46" s="3" customFormat="1" ht="76.5" customHeight="1">
      <c r="B112" s="355">
        <v>43087</v>
      </c>
      <c r="C112" s="340" t="s">
        <v>2034</v>
      </c>
      <c r="D112" s="341" t="s">
        <v>2804</v>
      </c>
      <c r="E112" s="339" t="s">
        <v>2044</v>
      </c>
      <c r="F112" s="341" t="s">
        <v>2045</v>
      </c>
      <c r="G112" s="341" t="s">
        <v>821</v>
      </c>
      <c r="H112" s="341" t="s">
        <v>2320</v>
      </c>
      <c r="I112" s="353">
        <v>14519.99</v>
      </c>
      <c r="J112" s="353">
        <v>48.1172</v>
      </c>
      <c r="K112" s="354">
        <f t="shared" si="8"/>
        <v>301.7629870399774</v>
      </c>
      <c r="L112" s="341">
        <v>60</v>
      </c>
      <c r="M112" s="343">
        <f t="shared" si="9"/>
        <v>241.99983333333333</v>
      </c>
      <c r="N112" s="344">
        <f ca="1" t="shared" si="10"/>
        <v>49</v>
      </c>
      <c r="O112" s="348">
        <f t="shared" si="11"/>
        <v>2661.9981666666663</v>
      </c>
      <c r="P112" s="340" t="s">
        <v>746</v>
      </c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</row>
    <row r="113" spans="2:46" s="3" customFormat="1" ht="62.25" customHeight="1">
      <c r="B113" s="355">
        <v>43087</v>
      </c>
      <c r="C113" s="340" t="s">
        <v>2034</v>
      </c>
      <c r="D113" s="341" t="s">
        <v>2805</v>
      </c>
      <c r="E113" s="339" t="s">
        <v>2044</v>
      </c>
      <c r="F113" s="341" t="s">
        <v>2046</v>
      </c>
      <c r="G113" s="341" t="s">
        <v>826</v>
      </c>
      <c r="H113" s="341" t="s">
        <v>2321</v>
      </c>
      <c r="I113" s="353">
        <v>14519.99</v>
      </c>
      <c r="J113" s="353">
        <v>48.1172</v>
      </c>
      <c r="K113" s="354">
        <f t="shared" si="8"/>
        <v>301.7629870399774</v>
      </c>
      <c r="L113" s="341">
        <v>60</v>
      </c>
      <c r="M113" s="343">
        <f t="shared" si="9"/>
        <v>241.99983333333333</v>
      </c>
      <c r="N113" s="344">
        <f ca="1" t="shared" si="10"/>
        <v>49</v>
      </c>
      <c r="O113" s="348">
        <f t="shared" si="11"/>
        <v>2661.9981666666663</v>
      </c>
      <c r="P113" s="340" t="s">
        <v>746</v>
      </c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</row>
    <row r="114" spans="2:46" s="3" customFormat="1" ht="71.25" customHeight="1">
      <c r="B114" s="355">
        <v>43087</v>
      </c>
      <c r="C114" s="340" t="s">
        <v>2034</v>
      </c>
      <c r="D114" s="341" t="s">
        <v>2806</v>
      </c>
      <c r="E114" s="339" t="s">
        <v>2044</v>
      </c>
      <c r="F114" s="341" t="s">
        <v>2047</v>
      </c>
      <c r="G114" s="341" t="s">
        <v>2865</v>
      </c>
      <c r="H114" s="341" t="s">
        <v>2325</v>
      </c>
      <c r="I114" s="353">
        <v>14519.99</v>
      </c>
      <c r="J114" s="353">
        <v>48.1172</v>
      </c>
      <c r="K114" s="354">
        <f t="shared" si="8"/>
        <v>301.7629870399774</v>
      </c>
      <c r="L114" s="341">
        <v>60</v>
      </c>
      <c r="M114" s="343">
        <f t="shared" si="9"/>
        <v>241.99983333333333</v>
      </c>
      <c r="N114" s="344">
        <f ca="1" t="shared" si="10"/>
        <v>49</v>
      </c>
      <c r="O114" s="348">
        <f t="shared" si="11"/>
        <v>2661.9981666666663</v>
      </c>
      <c r="P114" s="340" t="s">
        <v>746</v>
      </c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</row>
    <row r="115" spans="2:46" s="3" customFormat="1" ht="81" customHeight="1">
      <c r="B115" s="355">
        <v>43087</v>
      </c>
      <c r="C115" s="340" t="s">
        <v>2034</v>
      </c>
      <c r="D115" s="341" t="s">
        <v>2807</v>
      </c>
      <c r="E115" s="339" t="s">
        <v>2044</v>
      </c>
      <c r="F115" s="341" t="s">
        <v>2048</v>
      </c>
      <c r="G115" s="341" t="s">
        <v>2322</v>
      </c>
      <c r="H115" s="341" t="s">
        <v>2323</v>
      </c>
      <c r="I115" s="353">
        <v>14519.99</v>
      </c>
      <c r="J115" s="353">
        <v>48.1172</v>
      </c>
      <c r="K115" s="354">
        <f t="shared" si="8"/>
        <v>301.7629870399774</v>
      </c>
      <c r="L115" s="341">
        <v>60</v>
      </c>
      <c r="M115" s="343">
        <f t="shared" si="9"/>
        <v>241.99983333333333</v>
      </c>
      <c r="N115" s="344">
        <f ca="1" t="shared" si="10"/>
        <v>49</v>
      </c>
      <c r="O115" s="348">
        <f t="shared" si="11"/>
        <v>2661.9981666666663</v>
      </c>
      <c r="P115" s="340" t="s">
        <v>746</v>
      </c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</row>
    <row r="116" spans="2:46" s="3" customFormat="1" ht="76.5" customHeight="1">
      <c r="B116" s="355">
        <v>43087</v>
      </c>
      <c r="C116" s="340" t="s">
        <v>2034</v>
      </c>
      <c r="D116" s="341" t="s">
        <v>2808</v>
      </c>
      <c r="E116" s="339" t="s">
        <v>2049</v>
      </c>
      <c r="F116" s="569" t="s">
        <v>2050</v>
      </c>
      <c r="G116" s="341" t="s">
        <v>821</v>
      </c>
      <c r="H116" s="341" t="s">
        <v>2320</v>
      </c>
      <c r="I116" s="353">
        <v>1850.0045</v>
      </c>
      <c r="J116" s="353">
        <v>48.1172</v>
      </c>
      <c r="K116" s="354">
        <f t="shared" si="8"/>
        <v>38.447883501118106</v>
      </c>
      <c r="L116" s="341">
        <v>60</v>
      </c>
      <c r="M116" s="343">
        <f t="shared" si="9"/>
        <v>30.833408333333335</v>
      </c>
      <c r="N116" s="344">
        <f ca="1" t="shared" si="10"/>
        <v>49</v>
      </c>
      <c r="O116" s="348">
        <f t="shared" si="11"/>
        <v>339.1674916666666</v>
      </c>
      <c r="P116" s="340" t="s">
        <v>746</v>
      </c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</row>
    <row r="117" spans="2:46" s="3" customFormat="1" ht="78" customHeight="1">
      <c r="B117" s="355">
        <v>43087</v>
      </c>
      <c r="C117" s="340" t="s">
        <v>2034</v>
      </c>
      <c r="D117" s="341" t="s">
        <v>2809</v>
      </c>
      <c r="E117" s="339" t="s">
        <v>2049</v>
      </c>
      <c r="F117" s="569" t="s">
        <v>2051</v>
      </c>
      <c r="G117" s="341" t="s">
        <v>821</v>
      </c>
      <c r="H117" s="341" t="s">
        <v>2320</v>
      </c>
      <c r="I117" s="353">
        <v>1850.0045</v>
      </c>
      <c r="J117" s="353">
        <v>48.1172</v>
      </c>
      <c r="K117" s="354">
        <f t="shared" si="8"/>
        <v>38.447883501118106</v>
      </c>
      <c r="L117" s="341">
        <v>60</v>
      </c>
      <c r="M117" s="343">
        <f t="shared" si="9"/>
        <v>30.833408333333335</v>
      </c>
      <c r="N117" s="344">
        <f ca="1" t="shared" si="10"/>
        <v>49</v>
      </c>
      <c r="O117" s="348">
        <f t="shared" si="11"/>
        <v>339.1674916666666</v>
      </c>
      <c r="P117" s="340" t="s">
        <v>746</v>
      </c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</row>
    <row r="118" spans="2:46" s="3" customFormat="1" ht="70.5" customHeight="1">
      <c r="B118" s="355">
        <v>43087</v>
      </c>
      <c r="C118" s="340" t="s">
        <v>2034</v>
      </c>
      <c r="D118" s="341" t="s">
        <v>2810</v>
      </c>
      <c r="E118" s="339" t="s">
        <v>2049</v>
      </c>
      <c r="F118" s="569" t="s">
        <v>2052</v>
      </c>
      <c r="G118" s="341" t="s">
        <v>826</v>
      </c>
      <c r="H118" s="341" t="s">
        <v>2321</v>
      </c>
      <c r="I118" s="353">
        <v>1850.0045</v>
      </c>
      <c r="J118" s="353">
        <v>48.1172</v>
      </c>
      <c r="K118" s="354">
        <f t="shared" si="8"/>
        <v>38.447883501118106</v>
      </c>
      <c r="L118" s="341">
        <v>60</v>
      </c>
      <c r="M118" s="343">
        <f t="shared" si="9"/>
        <v>30.833408333333335</v>
      </c>
      <c r="N118" s="344">
        <f ca="1" t="shared" si="10"/>
        <v>49</v>
      </c>
      <c r="O118" s="348">
        <f t="shared" si="11"/>
        <v>339.1674916666666</v>
      </c>
      <c r="P118" s="340" t="s">
        <v>746</v>
      </c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</row>
    <row r="119" spans="2:46" s="3" customFormat="1" ht="63" customHeight="1">
      <c r="B119" s="355">
        <v>43087</v>
      </c>
      <c r="C119" s="340" t="s">
        <v>2034</v>
      </c>
      <c r="D119" s="341" t="s">
        <v>2811</v>
      </c>
      <c r="E119" s="339" t="s">
        <v>2049</v>
      </c>
      <c r="F119" s="569" t="s">
        <v>2053</v>
      </c>
      <c r="G119" s="341" t="s">
        <v>826</v>
      </c>
      <c r="H119" s="341" t="s">
        <v>2321</v>
      </c>
      <c r="I119" s="353">
        <v>1850.0045</v>
      </c>
      <c r="J119" s="353">
        <v>48.1172</v>
      </c>
      <c r="K119" s="354">
        <f t="shared" si="8"/>
        <v>38.447883501118106</v>
      </c>
      <c r="L119" s="341">
        <v>60</v>
      </c>
      <c r="M119" s="343">
        <f t="shared" si="9"/>
        <v>30.833408333333335</v>
      </c>
      <c r="N119" s="344">
        <f ca="1" t="shared" si="10"/>
        <v>49</v>
      </c>
      <c r="O119" s="348">
        <f t="shared" si="11"/>
        <v>339.1674916666666</v>
      </c>
      <c r="P119" s="340" t="s">
        <v>746</v>
      </c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</row>
    <row r="120" spans="2:46" s="3" customFormat="1" ht="73.5" customHeight="1">
      <c r="B120" s="355">
        <v>43087</v>
      </c>
      <c r="C120" s="340" t="s">
        <v>2034</v>
      </c>
      <c r="D120" s="341" t="s">
        <v>2812</v>
      </c>
      <c r="E120" s="339" t="s">
        <v>2049</v>
      </c>
      <c r="F120" s="569" t="s">
        <v>2054</v>
      </c>
      <c r="G120" s="341" t="s">
        <v>2322</v>
      </c>
      <c r="H120" s="341" t="s">
        <v>2323</v>
      </c>
      <c r="I120" s="353">
        <v>1850.0045</v>
      </c>
      <c r="J120" s="353">
        <v>48.1172</v>
      </c>
      <c r="K120" s="354">
        <f t="shared" si="8"/>
        <v>38.447883501118106</v>
      </c>
      <c r="L120" s="341">
        <v>60</v>
      </c>
      <c r="M120" s="343">
        <f t="shared" si="9"/>
        <v>30.833408333333335</v>
      </c>
      <c r="N120" s="344">
        <f ca="1" t="shared" si="10"/>
        <v>49</v>
      </c>
      <c r="O120" s="348">
        <f t="shared" si="11"/>
        <v>339.1674916666666</v>
      </c>
      <c r="P120" s="340" t="s">
        <v>746</v>
      </c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</row>
    <row r="121" spans="2:46" s="3" customFormat="1" ht="78" customHeight="1">
      <c r="B121" s="355">
        <v>43087</v>
      </c>
      <c r="C121" s="340" t="s">
        <v>2034</v>
      </c>
      <c r="D121" s="341" t="s">
        <v>2813</v>
      </c>
      <c r="E121" s="339" t="s">
        <v>2049</v>
      </c>
      <c r="F121" s="569" t="s">
        <v>2055</v>
      </c>
      <c r="G121" s="341" t="s">
        <v>2322</v>
      </c>
      <c r="H121" s="341" t="s">
        <v>2323</v>
      </c>
      <c r="I121" s="353">
        <v>1850.0045</v>
      </c>
      <c r="J121" s="353">
        <v>48.1172</v>
      </c>
      <c r="K121" s="354">
        <f t="shared" si="8"/>
        <v>38.447883501118106</v>
      </c>
      <c r="L121" s="341">
        <v>60</v>
      </c>
      <c r="M121" s="343">
        <f t="shared" si="9"/>
        <v>30.833408333333335</v>
      </c>
      <c r="N121" s="344">
        <f ca="1" t="shared" si="10"/>
        <v>49</v>
      </c>
      <c r="O121" s="348">
        <f t="shared" si="11"/>
        <v>339.1674916666666</v>
      </c>
      <c r="P121" s="340" t="s">
        <v>746</v>
      </c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</row>
    <row r="122" spans="2:46" s="3" customFormat="1" ht="72.75" customHeight="1">
      <c r="B122" s="355">
        <v>43087</v>
      </c>
      <c r="C122" s="340" t="s">
        <v>2034</v>
      </c>
      <c r="D122" s="341" t="s">
        <v>2814</v>
      </c>
      <c r="E122" s="339" t="s">
        <v>2049</v>
      </c>
      <c r="F122" s="569" t="s">
        <v>2056</v>
      </c>
      <c r="G122" s="341" t="s">
        <v>2865</v>
      </c>
      <c r="H122" s="341" t="s">
        <v>2325</v>
      </c>
      <c r="I122" s="353">
        <v>1850.0045</v>
      </c>
      <c r="J122" s="353">
        <v>48.1172</v>
      </c>
      <c r="K122" s="354">
        <f t="shared" si="8"/>
        <v>38.447883501118106</v>
      </c>
      <c r="L122" s="341">
        <v>60</v>
      </c>
      <c r="M122" s="343">
        <f t="shared" si="9"/>
        <v>30.833408333333335</v>
      </c>
      <c r="N122" s="344">
        <f ca="1" t="shared" si="10"/>
        <v>49</v>
      </c>
      <c r="O122" s="348">
        <f t="shared" si="11"/>
        <v>339.1674916666666</v>
      </c>
      <c r="P122" s="340" t="s">
        <v>746</v>
      </c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</row>
    <row r="123" spans="2:46" s="3" customFormat="1" ht="66.75" customHeight="1">
      <c r="B123" s="355">
        <v>43087</v>
      </c>
      <c r="C123" s="340" t="s">
        <v>2034</v>
      </c>
      <c r="D123" s="341" t="s">
        <v>2815</v>
      </c>
      <c r="E123" s="339" t="s">
        <v>2049</v>
      </c>
      <c r="F123" s="569" t="s">
        <v>2057</v>
      </c>
      <c r="G123" s="341" t="s">
        <v>2865</v>
      </c>
      <c r="H123" s="341" t="s">
        <v>2325</v>
      </c>
      <c r="I123" s="353">
        <v>1850.0045</v>
      </c>
      <c r="J123" s="353">
        <v>48.1172</v>
      </c>
      <c r="K123" s="354">
        <f t="shared" si="8"/>
        <v>38.447883501118106</v>
      </c>
      <c r="L123" s="341">
        <v>60</v>
      </c>
      <c r="M123" s="343">
        <f t="shared" si="9"/>
        <v>30.833408333333335</v>
      </c>
      <c r="N123" s="344">
        <f ca="1" t="shared" si="10"/>
        <v>49</v>
      </c>
      <c r="O123" s="348">
        <f t="shared" si="11"/>
        <v>339.1674916666666</v>
      </c>
      <c r="P123" s="340" t="s">
        <v>746</v>
      </c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</row>
    <row r="124" spans="2:46" s="3" customFormat="1" ht="78" customHeight="1">
      <c r="B124" s="355">
        <v>43087</v>
      </c>
      <c r="C124" s="340" t="s">
        <v>2058</v>
      </c>
      <c r="D124" s="341" t="s">
        <v>2816</v>
      </c>
      <c r="E124" s="339" t="s">
        <v>2059</v>
      </c>
      <c r="F124" s="341" t="s">
        <v>42</v>
      </c>
      <c r="G124" s="341" t="s">
        <v>2322</v>
      </c>
      <c r="H124" s="341" t="s">
        <v>2323</v>
      </c>
      <c r="I124" s="353">
        <v>12059.6</v>
      </c>
      <c r="J124" s="353">
        <v>48.1172</v>
      </c>
      <c r="K124" s="354">
        <f t="shared" si="8"/>
        <v>250.62971245209616</v>
      </c>
      <c r="L124" s="341">
        <v>60</v>
      </c>
      <c r="M124" s="343">
        <f t="shared" si="9"/>
        <v>200.99333333333334</v>
      </c>
      <c r="N124" s="344">
        <f ca="1" t="shared" si="10"/>
        <v>49</v>
      </c>
      <c r="O124" s="348">
        <f t="shared" si="11"/>
        <v>2210.9266666666663</v>
      </c>
      <c r="P124" s="340" t="s">
        <v>2060</v>
      </c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</row>
    <row r="125" spans="2:46" s="3" customFormat="1" ht="63.75" customHeight="1">
      <c r="B125" s="355">
        <v>43087</v>
      </c>
      <c r="C125" s="340" t="s">
        <v>2058</v>
      </c>
      <c r="D125" s="341" t="s">
        <v>2817</v>
      </c>
      <c r="E125" s="339" t="s">
        <v>2061</v>
      </c>
      <c r="F125" s="341" t="s">
        <v>42</v>
      </c>
      <c r="G125" s="341" t="s">
        <v>821</v>
      </c>
      <c r="H125" s="341" t="s">
        <v>2320</v>
      </c>
      <c r="I125" s="353">
        <v>4543</v>
      </c>
      <c r="J125" s="353">
        <v>48.1172</v>
      </c>
      <c r="K125" s="354">
        <f t="shared" si="8"/>
        <v>94.41530263606361</v>
      </c>
      <c r="L125" s="341">
        <v>60</v>
      </c>
      <c r="M125" s="343">
        <f t="shared" si="9"/>
        <v>75.71666666666667</v>
      </c>
      <c r="N125" s="344">
        <f ca="1" t="shared" si="10"/>
        <v>49</v>
      </c>
      <c r="O125" s="348">
        <f t="shared" si="11"/>
        <v>832.8833333333332</v>
      </c>
      <c r="P125" s="340" t="s">
        <v>2060</v>
      </c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</row>
    <row r="126" spans="2:46" s="3" customFormat="1" ht="63.75" customHeight="1">
      <c r="B126" s="355">
        <v>43087</v>
      </c>
      <c r="C126" s="340" t="s">
        <v>2058</v>
      </c>
      <c r="D126" s="341" t="s">
        <v>2818</v>
      </c>
      <c r="E126" s="339" t="s">
        <v>2061</v>
      </c>
      <c r="F126" s="341" t="s">
        <v>42</v>
      </c>
      <c r="G126" s="341" t="s">
        <v>826</v>
      </c>
      <c r="H126" s="341" t="s">
        <v>2321</v>
      </c>
      <c r="I126" s="353">
        <v>4543</v>
      </c>
      <c r="J126" s="353">
        <v>48.1172</v>
      </c>
      <c r="K126" s="354">
        <f t="shared" si="8"/>
        <v>94.41530263606361</v>
      </c>
      <c r="L126" s="341">
        <v>60</v>
      </c>
      <c r="M126" s="343">
        <f t="shared" si="9"/>
        <v>75.71666666666667</v>
      </c>
      <c r="N126" s="344">
        <f ca="1" t="shared" si="10"/>
        <v>49</v>
      </c>
      <c r="O126" s="348">
        <f t="shared" si="11"/>
        <v>832.8833333333332</v>
      </c>
      <c r="P126" s="340" t="s">
        <v>2060</v>
      </c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</row>
    <row r="127" spans="2:46" s="3" customFormat="1" ht="74.25" customHeight="1">
      <c r="B127" s="355">
        <v>43087</v>
      </c>
      <c r="C127" s="340" t="s">
        <v>2058</v>
      </c>
      <c r="D127" s="341" t="s">
        <v>2819</v>
      </c>
      <c r="E127" s="339" t="s">
        <v>2061</v>
      </c>
      <c r="F127" s="341" t="s">
        <v>42</v>
      </c>
      <c r="G127" s="341" t="s">
        <v>2865</v>
      </c>
      <c r="H127" s="341" t="s">
        <v>2325</v>
      </c>
      <c r="I127" s="353">
        <v>4543</v>
      </c>
      <c r="J127" s="353">
        <v>48.1172</v>
      </c>
      <c r="K127" s="354">
        <f t="shared" si="8"/>
        <v>94.41530263606361</v>
      </c>
      <c r="L127" s="341">
        <v>60</v>
      </c>
      <c r="M127" s="343">
        <f t="shared" si="9"/>
        <v>75.71666666666667</v>
      </c>
      <c r="N127" s="344">
        <f ca="1" t="shared" si="10"/>
        <v>49</v>
      </c>
      <c r="O127" s="348">
        <f t="shared" si="11"/>
        <v>832.8833333333332</v>
      </c>
      <c r="P127" s="340" t="s">
        <v>2060</v>
      </c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</row>
    <row r="128" spans="2:46" s="3" customFormat="1" ht="77.25" customHeight="1">
      <c r="B128" s="355">
        <v>43087</v>
      </c>
      <c r="C128" s="340" t="s">
        <v>2058</v>
      </c>
      <c r="D128" s="341" t="s">
        <v>2820</v>
      </c>
      <c r="E128" s="339" t="s">
        <v>2061</v>
      </c>
      <c r="F128" s="341" t="s">
        <v>42</v>
      </c>
      <c r="G128" s="341" t="s">
        <v>2322</v>
      </c>
      <c r="H128" s="341" t="s">
        <v>2323</v>
      </c>
      <c r="I128" s="353">
        <v>4543</v>
      </c>
      <c r="J128" s="353">
        <v>48.1172</v>
      </c>
      <c r="K128" s="354">
        <f t="shared" si="8"/>
        <v>94.41530263606361</v>
      </c>
      <c r="L128" s="341">
        <v>60</v>
      </c>
      <c r="M128" s="343">
        <f t="shared" si="9"/>
        <v>75.71666666666667</v>
      </c>
      <c r="N128" s="344">
        <f ca="1" t="shared" si="10"/>
        <v>49</v>
      </c>
      <c r="O128" s="348">
        <f t="shared" si="11"/>
        <v>832.8833333333332</v>
      </c>
      <c r="P128" s="340" t="s">
        <v>2060</v>
      </c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</row>
    <row r="129" spans="2:46" s="3" customFormat="1" ht="63.75" customHeight="1">
      <c r="B129" s="355">
        <v>43087</v>
      </c>
      <c r="C129" s="340" t="s">
        <v>2058</v>
      </c>
      <c r="D129" s="341" t="s">
        <v>2821</v>
      </c>
      <c r="E129" s="339" t="s">
        <v>2062</v>
      </c>
      <c r="F129" s="341" t="s">
        <v>42</v>
      </c>
      <c r="G129" s="341" t="s">
        <v>826</v>
      </c>
      <c r="H129" s="341" t="s">
        <v>2321</v>
      </c>
      <c r="I129" s="353">
        <v>4295.2</v>
      </c>
      <c r="J129" s="353">
        <v>48.1172</v>
      </c>
      <c r="K129" s="354">
        <f t="shared" si="8"/>
        <v>89.26537703773288</v>
      </c>
      <c r="L129" s="341">
        <v>60</v>
      </c>
      <c r="M129" s="343">
        <f t="shared" si="9"/>
        <v>71.58666666666666</v>
      </c>
      <c r="N129" s="344">
        <f ca="1" t="shared" si="10"/>
        <v>49</v>
      </c>
      <c r="O129" s="348">
        <f t="shared" si="11"/>
        <v>787.4533333333334</v>
      </c>
      <c r="P129" s="340" t="s">
        <v>2060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</row>
    <row r="130" spans="2:46" s="3" customFormat="1" ht="68.25" customHeight="1">
      <c r="B130" s="355">
        <v>43087</v>
      </c>
      <c r="C130" s="340" t="s">
        <v>2058</v>
      </c>
      <c r="D130" s="341" t="s">
        <v>2822</v>
      </c>
      <c r="E130" s="339" t="s">
        <v>2062</v>
      </c>
      <c r="F130" s="341" t="s">
        <v>42</v>
      </c>
      <c r="G130" s="341" t="s">
        <v>826</v>
      </c>
      <c r="H130" s="341" t="s">
        <v>2321</v>
      </c>
      <c r="I130" s="353">
        <v>4295.2</v>
      </c>
      <c r="J130" s="353">
        <v>48.1172</v>
      </c>
      <c r="K130" s="354">
        <f t="shared" si="8"/>
        <v>89.26537703773288</v>
      </c>
      <c r="L130" s="341">
        <v>60</v>
      </c>
      <c r="M130" s="343">
        <f t="shared" si="9"/>
        <v>71.58666666666666</v>
      </c>
      <c r="N130" s="344">
        <f ca="1" t="shared" si="10"/>
        <v>49</v>
      </c>
      <c r="O130" s="348">
        <f t="shared" si="11"/>
        <v>787.4533333333334</v>
      </c>
      <c r="P130" s="340" t="s">
        <v>2060</v>
      </c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</row>
    <row r="131" spans="2:46" s="3" customFormat="1" ht="75.75" customHeight="1">
      <c r="B131" s="355">
        <v>43087</v>
      </c>
      <c r="C131" s="340" t="s">
        <v>2058</v>
      </c>
      <c r="D131" s="341" t="s">
        <v>2823</v>
      </c>
      <c r="E131" s="339" t="s">
        <v>2063</v>
      </c>
      <c r="F131" s="341" t="s">
        <v>42</v>
      </c>
      <c r="G131" s="341" t="s">
        <v>821</v>
      </c>
      <c r="H131" s="341" t="s">
        <v>2320</v>
      </c>
      <c r="I131" s="353">
        <v>8260</v>
      </c>
      <c r="J131" s="353">
        <v>48.1172</v>
      </c>
      <c r="K131" s="354">
        <f t="shared" si="8"/>
        <v>171.66418661102475</v>
      </c>
      <c r="L131" s="341">
        <v>60</v>
      </c>
      <c r="M131" s="343">
        <f t="shared" si="9"/>
        <v>137.66666666666666</v>
      </c>
      <c r="N131" s="344">
        <f ca="1" t="shared" si="10"/>
        <v>49</v>
      </c>
      <c r="O131" s="348">
        <f t="shared" si="11"/>
        <v>1514.333333333334</v>
      </c>
      <c r="P131" s="340" t="s">
        <v>2060</v>
      </c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</row>
    <row r="132" spans="2:46" s="3" customFormat="1" ht="66.75" customHeight="1">
      <c r="B132" s="355">
        <v>43087</v>
      </c>
      <c r="C132" s="340" t="s">
        <v>2058</v>
      </c>
      <c r="D132" s="341" t="s">
        <v>2824</v>
      </c>
      <c r="E132" s="339" t="s">
        <v>2063</v>
      </c>
      <c r="F132" s="341" t="s">
        <v>42</v>
      </c>
      <c r="G132" s="341" t="s">
        <v>826</v>
      </c>
      <c r="H132" s="341" t="s">
        <v>2321</v>
      </c>
      <c r="I132" s="353">
        <v>8260</v>
      </c>
      <c r="J132" s="353">
        <v>48.1172</v>
      </c>
      <c r="K132" s="354">
        <f t="shared" si="8"/>
        <v>171.66418661102475</v>
      </c>
      <c r="L132" s="341">
        <v>60</v>
      </c>
      <c r="M132" s="343">
        <f t="shared" si="9"/>
        <v>137.66666666666666</v>
      </c>
      <c r="N132" s="344">
        <f ca="1" t="shared" si="10"/>
        <v>49</v>
      </c>
      <c r="O132" s="348">
        <f t="shared" si="11"/>
        <v>1514.333333333334</v>
      </c>
      <c r="P132" s="340" t="s">
        <v>2060</v>
      </c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</row>
    <row r="133" spans="2:46" s="3" customFormat="1" ht="67.5" customHeight="1">
      <c r="B133" s="355">
        <v>43087</v>
      </c>
      <c r="C133" s="340" t="s">
        <v>2058</v>
      </c>
      <c r="D133" s="341" t="s">
        <v>2825</v>
      </c>
      <c r="E133" s="339" t="s">
        <v>2063</v>
      </c>
      <c r="F133" s="341" t="s">
        <v>42</v>
      </c>
      <c r="G133" s="341" t="s">
        <v>2865</v>
      </c>
      <c r="H133" s="341" t="s">
        <v>2325</v>
      </c>
      <c r="I133" s="353">
        <v>8260</v>
      </c>
      <c r="J133" s="353">
        <v>48.1172</v>
      </c>
      <c r="K133" s="354">
        <f t="shared" si="8"/>
        <v>171.66418661102475</v>
      </c>
      <c r="L133" s="341">
        <v>60</v>
      </c>
      <c r="M133" s="343">
        <f t="shared" si="9"/>
        <v>137.66666666666666</v>
      </c>
      <c r="N133" s="344">
        <f ca="1" t="shared" si="10"/>
        <v>49</v>
      </c>
      <c r="O133" s="348">
        <f t="shared" si="11"/>
        <v>1514.333333333334</v>
      </c>
      <c r="P133" s="340" t="s">
        <v>2060</v>
      </c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</row>
    <row r="134" spans="2:46" s="3" customFormat="1" ht="77.25" customHeight="1">
      <c r="B134" s="355">
        <v>43087</v>
      </c>
      <c r="C134" s="340" t="s">
        <v>2058</v>
      </c>
      <c r="D134" s="341" t="s">
        <v>2826</v>
      </c>
      <c r="E134" s="339" t="s">
        <v>2063</v>
      </c>
      <c r="F134" s="341" t="s">
        <v>42</v>
      </c>
      <c r="G134" s="341" t="s">
        <v>2322</v>
      </c>
      <c r="H134" s="341" t="s">
        <v>2323</v>
      </c>
      <c r="I134" s="353">
        <v>8260</v>
      </c>
      <c r="J134" s="353">
        <v>48.1172</v>
      </c>
      <c r="K134" s="354">
        <f t="shared" si="8"/>
        <v>171.66418661102475</v>
      </c>
      <c r="L134" s="341">
        <v>60</v>
      </c>
      <c r="M134" s="343">
        <f t="shared" si="9"/>
        <v>137.66666666666666</v>
      </c>
      <c r="N134" s="344">
        <f ca="1" t="shared" si="10"/>
        <v>49</v>
      </c>
      <c r="O134" s="348">
        <f t="shared" si="11"/>
        <v>1514.333333333334</v>
      </c>
      <c r="P134" s="340" t="s">
        <v>2060</v>
      </c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</row>
    <row r="135" spans="2:46" s="3" customFormat="1" ht="55.5" customHeight="1">
      <c r="B135" s="355">
        <v>43087</v>
      </c>
      <c r="C135" s="340" t="s">
        <v>2058</v>
      </c>
      <c r="D135" s="341" t="s">
        <v>2827</v>
      </c>
      <c r="E135" s="339" t="s">
        <v>2064</v>
      </c>
      <c r="F135" s="341" t="s">
        <v>42</v>
      </c>
      <c r="G135" s="341" t="s">
        <v>821</v>
      </c>
      <c r="H135" s="341" t="s">
        <v>2320</v>
      </c>
      <c r="I135" s="353">
        <v>4130</v>
      </c>
      <c r="J135" s="353">
        <v>48.1172</v>
      </c>
      <c r="K135" s="354">
        <f t="shared" si="8"/>
        <v>85.83209330551237</v>
      </c>
      <c r="L135" s="341">
        <v>60</v>
      </c>
      <c r="M135" s="343">
        <f t="shared" si="9"/>
        <v>68.83333333333333</v>
      </c>
      <c r="N135" s="344">
        <f ca="1" t="shared" si="10"/>
        <v>49</v>
      </c>
      <c r="O135" s="348">
        <f t="shared" si="11"/>
        <v>757.166666666667</v>
      </c>
      <c r="P135" s="340" t="s">
        <v>2060</v>
      </c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</row>
    <row r="136" spans="2:46" s="3" customFormat="1" ht="72.75" customHeight="1">
      <c r="B136" s="355">
        <v>43087</v>
      </c>
      <c r="C136" s="340" t="s">
        <v>2058</v>
      </c>
      <c r="D136" s="341" t="s">
        <v>2828</v>
      </c>
      <c r="E136" s="339" t="s">
        <v>2064</v>
      </c>
      <c r="F136" s="341" t="s">
        <v>42</v>
      </c>
      <c r="G136" s="341" t="s">
        <v>826</v>
      </c>
      <c r="H136" s="341" t="s">
        <v>2321</v>
      </c>
      <c r="I136" s="353">
        <v>4130</v>
      </c>
      <c r="J136" s="353">
        <v>48.1172</v>
      </c>
      <c r="K136" s="354">
        <f t="shared" si="8"/>
        <v>85.83209330551237</v>
      </c>
      <c r="L136" s="341">
        <v>60</v>
      </c>
      <c r="M136" s="343">
        <f t="shared" si="9"/>
        <v>68.83333333333333</v>
      </c>
      <c r="N136" s="344">
        <f ca="1" t="shared" si="10"/>
        <v>49</v>
      </c>
      <c r="O136" s="348">
        <f t="shared" si="11"/>
        <v>757.166666666667</v>
      </c>
      <c r="P136" s="340" t="s">
        <v>2060</v>
      </c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</row>
    <row r="137" spans="2:46" s="3" customFormat="1" ht="71.25" customHeight="1">
      <c r="B137" s="355">
        <v>43087</v>
      </c>
      <c r="C137" s="340" t="s">
        <v>2058</v>
      </c>
      <c r="D137" s="341" t="s">
        <v>2829</v>
      </c>
      <c r="E137" s="339" t="s">
        <v>2064</v>
      </c>
      <c r="F137" s="341" t="s">
        <v>42</v>
      </c>
      <c r="G137" s="341" t="s">
        <v>2865</v>
      </c>
      <c r="H137" s="341" t="s">
        <v>2325</v>
      </c>
      <c r="I137" s="353">
        <v>4130</v>
      </c>
      <c r="J137" s="353">
        <v>48.1172</v>
      </c>
      <c r="K137" s="354">
        <f t="shared" si="8"/>
        <v>85.83209330551237</v>
      </c>
      <c r="L137" s="341">
        <v>60</v>
      </c>
      <c r="M137" s="343">
        <f t="shared" si="9"/>
        <v>68.83333333333333</v>
      </c>
      <c r="N137" s="344">
        <f ca="1" t="shared" si="10"/>
        <v>49</v>
      </c>
      <c r="O137" s="348">
        <f t="shared" si="11"/>
        <v>757.166666666667</v>
      </c>
      <c r="P137" s="340" t="s">
        <v>2060</v>
      </c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</row>
    <row r="138" spans="2:46" s="3" customFormat="1" ht="78" customHeight="1">
      <c r="B138" s="355">
        <v>43087</v>
      </c>
      <c r="C138" s="340" t="s">
        <v>2058</v>
      </c>
      <c r="D138" s="341" t="s">
        <v>2830</v>
      </c>
      <c r="E138" s="339" t="s">
        <v>2064</v>
      </c>
      <c r="F138" s="341" t="s">
        <v>42</v>
      </c>
      <c r="G138" s="341" t="s">
        <v>2322</v>
      </c>
      <c r="H138" s="341" t="s">
        <v>2323</v>
      </c>
      <c r="I138" s="353">
        <v>4130</v>
      </c>
      <c r="J138" s="353">
        <v>48.1172</v>
      </c>
      <c r="K138" s="354">
        <f t="shared" si="8"/>
        <v>85.83209330551237</v>
      </c>
      <c r="L138" s="341">
        <v>60</v>
      </c>
      <c r="M138" s="343">
        <f t="shared" si="9"/>
        <v>68.83333333333333</v>
      </c>
      <c r="N138" s="344">
        <f ca="1" t="shared" si="10"/>
        <v>49</v>
      </c>
      <c r="O138" s="348">
        <f t="shared" si="11"/>
        <v>757.166666666667</v>
      </c>
      <c r="P138" s="340" t="s">
        <v>2060</v>
      </c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</row>
    <row r="139" spans="2:46" s="3" customFormat="1" ht="65.25" customHeight="1">
      <c r="B139" s="355">
        <v>43087</v>
      </c>
      <c r="C139" s="340" t="s">
        <v>2065</v>
      </c>
      <c r="D139" s="341" t="s">
        <v>2831</v>
      </c>
      <c r="E139" s="339" t="s">
        <v>2066</v>
      </c>
      <c r="F139" s="341" t="s">
        <v>42</v>
      </c>
      <c r="G139" s="341" t="s">
        <v>826</v>
      </c>
      <c r="H139" s="341" t="s">
        <v>2321</v>
      </c>
      <c r="I139" s="353">
        <v>3589.56</v>
      </c>
      <c r="J139" s="353">
        <v>48.1172</v>
      </c>
      <c r="K139" s="354">
        <f t="shared" si="8"/>
        <v>74.60035081010533</v>
      </c>
      <c r="L139" s="341">
        <v>60</v>
      </c>
      <c r="M139" s="343">
        <f t="shared" si="9"/>
        <v>59.826</v>
      </c>
      <c r="N139" s="344">
        <f ca="1" t="shared" si="10"/>
        <v>49</v>
      </c>
      <c r="O139" s="348">
        <f t="shared" si="11"/>
        <v>658.0859999999998</v>
      </c>
      <c r="P139" s="340" t="s">
        <v>2067</v>
      </c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</row>
    <row r="140" spans="2:46" s="3" customFormat="1" ht="60" customHeight="1">
      <c r="B140" s="355">
        <v>43087</v>
      </c>
      <c r="C140" s="340" t="s">
        <v>2065</v>
      </c>
      <c r="D140" s="341" t="s">
        <v>2832</v>
      </c>
      <c r="E140" s="339" t="s">
        <v>2066</v>
      </c>
      <c r="F140" s="341" t="s">
        <v>42</v>
      </c>
      <c r="G140" s="341" t="s">
        <v>2865</v>
      </c>
      <c r="H140" s="341" t="s">
        <v>2325</v>
      </c>
      <c r="I140" s="353">
        <v>3589.56</v>
      </c>
      <c r="J140" s="353">
        <v>48.1172</v>
      </c>
      <c r="K140" s="354">
        <f t="shared" si="8"/>
        <v>74.60035081010533</v>
      </c>
      <c r="L140" s="341">
        <v>60</v>
      </c>
      <c r="M140" s="343">
        <f t="shared" si="9"/>
        <v>59.826</v>
      </c>
      <c r="N140" s="344">
        <f ca="1" t="shared" si="10"/>
        <v>49</v>
      </c>
      <c r="O140" s="348">
        <f t="shared" si="11"/>
        <v>658.0859999999998</v>
      </c>
      <c r="P140" s="340" t="s">
        <v>2067</v>
      </c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</row>
    <row r="141" spans="2:46" s="3" customFormat="1" ht="79.5" customHeight="1">
      <c r="B141" s="355">
        <v>43087</v>
      </c>
      <c r="C141" s="340" t="s">
        <v>2065</v>
      </c>
      <c r="D141" s="341" t="s">
        <v>2833</v>
      </c>
      <c r="E141" s="339" t="s">
        <v>2066</v>
      </c>
      <c r="F141" s="341" t="s">
        <v>42</v>
      </c>
      <c r="G141" s="341" t="s">
        <v>2322</v>
      </c>
      <c r="H141" s="341" t="s">
        <v>2323</v>
      </c>
      <c r="I141" s="353">
        <v>3589.56</v>
      </c>
      <c r="J141" s="353">
        <v>48.1172</v>
      </c>
      <c r="K141" s="354">
        <f t="shared" si="8"/>
        <v>74.60035081010533</v>
      </c>
      <c r="L141" s="341">
        <v>60</v>
      </c>
      <c r="M141" s="343">
        <f t="shared" si="9"/>
        <v>59.826</v>
      </c>
      <c r="N141" s="344">
        <f ca="1" t="shared" si="10"/>
        <v>49</v>
      </c>
      <c r="O141" s="348">
        <f t="shared" si="11"/>
        <v>658.0859999999998</v>
      </c>
      <c r="P141" s="340" t="s">
        <v>2067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</row>
    <row r="142" spans="2:46" s="3" customFormat="1" ht="65.25" customHeight="1">
      <c r="B142" s="355">
        <v>43087</v>
      </c>
      <c r="C142" s="340" t="s">
        <v>2065</v>
      </c>
      <c r="D142" s="341" t="s">
        <v>2834</v>
      </c>
      <c r="E142" s="339" t="s">
        <v>2068</v>
      </c>
      <c r="F142" s="341" t="s">
        <v>42</v>
      </c>
      <c r="G142" s="341" t="s">
        <v>826</v>
      </c>
      <c r="H142" s="341" t="s">
        <v>2321</v>
      </c>
      <c r="I142" s="353">
        <v>1551.7</v>
      </c>
      <c r="J142" s="353">
        <v>48.1172</v>
      </c>
      <c r="K142" s="354">
        <f t="shared" si="8"/>
        <v>32.24834362764251</v>
      </c>
      <c r="L142" s="341">
        <v>60</v>
      </c>
      <c r="M142" s="343">
        <f t="shared" si="9"/>
        <v>25.861666666666668</v>
      </c>
      <c r="N142" s="344">
        <f ca="1" t="shared" si="10"/>
        <v>49</v>
      </c>
      <c r="O142" s="348">
        <f t="shared" si="11"/>
        <v>284.47833333333324</v>
      </c>
      <c r="P142" s="340" t="s">
        <v>2067</v>
      </c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</row>
    <row r="143" spans="2:46" s="3" customFormat="1" ht="46.5" customHeight="1">
      <c r="B143" s="355">
        <v>43087</v>
      </c>
      <c r="C143" s="340" t="s">
        <v>2065</v>
      </c>
      <c r="D143" s="341" t="s">
        <v>2835</v>
      </c>
      <c r="E143" s="339" t="s">
        <v>2068</v>
      </c>
      <c r="F143" s="341" t="s">
        <v>42</v>
      </c>
      <c r="G143" s="341" t="s">
        <v>826</v>
      </c>
      <c r="H143" s="341" t="s">
        <v>2321</v>
      </c>
      <c r="I143" s="353">
        <v>1551.7</v>
      </c>
      <c r="J143" s="353">
        <v>48.1172</v>
      </c>
      <c r="K143" s="354">
        <f t="shared" si="8"/>
        <v>32.24834362764251</v>
      </c>
      <c r="L143" s="341">
        <v>60</v>
      </c>
      <c r="M143" s="343">
        <f t="shared" si="9"/>
        <v>25.861666666666668</v>
      </c>
      <c r="N143" s="344">
        <f ca="1" t="shared" si="10"/>
        <v>49</v>
      </c>
      <c r="O143" s="348">
        <f t="shared" si="11"/>
        <v>284.47833333333324</v>
      </c>
      <c r="P143" s="340" t="s">
        <v>2067</v>
      </c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</row>
    <row r="144" spans="2:46" s="3" customFormat="1" ht="68.25" customHeight="1">
      <c r="B144" s="355">
        <v>43087</v>
      </c>
      <c r="C144" s="340" t="s">
        <v>2065</v>
      </c>
      <c r="D144" s="341" t="s">
        <v>2836</v>
      </c>
      <c r="E144" s="339" t="s">
        <v>2068</v>
      </c>
      <c r="F144" s="341" t="s">
        <v>42</v>
      </c>
      <c r="G144" s="341" t="s">
        <v>2865</v>
      </c>
      <c r="H144" s="341" t="s">
        <v>2325</v>
      </c>
      <c r="I144" s="353">
        <v>1551.7</v>
      </c>
      <c r="J144" s="353">
        <v>48.1172</v>
      </c>
      <c r="K144" s="354">
        <f t="shared" si="8"/>
        <v>32.24834362764251</v>
      </c>
      <c r="L144" s="341">
        <v>60</v>
      </c>
      <c r="M144" s="343">
        <f t="shared" si="9"/>
        <v>25.861666666666668</v>
      </c>
      <c r="N144" s="344">
        <f ca="1" t="shared" si="10"/>
        <v>49</v>
      </c>
      <c r="O144" s="348">
        <f t="shared" si="11"/>
        <v>284.47833333333324</v>
      </c>
      <c r="P144" s="340" t="s">
        <v>2067</v>
      </c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</row>
    <row r="145" spans="2:46" s="3" customFormat="1" ht="66" customHeight="1">
      <c r="B145" s="355">
        <v>43087</v>
      </c>
      <c r="C145" s="340" t="s">
        <v>2065</v>
      </c>
      <c r="D145" s="341" t="s">
        <v>2837</v>
      </c>
      <c r="E145" s="339" t="s">
        <v>2068</v>
      </c>
      <c r="F145" s="341" t="s">
        <v>42</v>
      </c>
      <c r="G145" s="341" t="s">
        <v>2865</v>
      </c>
      <c r="H145" s="341" t="s">
        <v>2325</v>
      </c>
      <c r="I145" s="353">
        <v>1551.7</v>
      </c>
      <c r="J145" s="353">
        <v>48.1172</v>
      </c>
      <c r="K145" s="354">
        <f t="shared" si="8"/>
        <v>32.24834362764251</v>
      </c>
      <c r="L145" s="341">
        <v>60</v>
      </c>
      <c r="M145" s="343">
        <f t="shared" si="9"/>
        <v>25.861666666666668</v>
      </c>
      <c r="N145" s="344">
        <f ca="1" t="shared" si="10"/>
        <v>49</v>
      </c>
      <c r="O145" s="348">
        <f t="shared" si="11"/>
        <v>284.47833333333324</v>
      </c>
      <c r="P145" s="340" t="s">
        <v>2067</v>
      </c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</row>
    <row r="146" spans="2:46" s="3" customFormat="1" ht="71.25" customHeight="1">
      <c r="B146" s="355">
        <v>43087</v>
      </c>
      <c r="C146" s="340" t="s">
        <v>2065</v>
      </c>
      <c r="D146" s="341" t="s">
        <v>2838</v>
      </c>
      <c r="E146" s="339" t="s">
        <v>2068</v>
      </c>
      <c r="F146" s="341" t="s">
        <v>42</v>
      </c>
      <c r="G146" s="341" t="s">
        <v>2322</v>
      </c>
      <c r="H146" s="341" t="s">
        <v>2323</v>
      </c>
      <c r="I146" s="353">
        <v>1551.7</v>
      </c>
      <c r="J146" s="353">
        <v>48.1172</v>
      </c>
      <c r="K146" s="354">
        <f t="shared" si="8"/>
        <v>32.24834362764251</v>
      </c>
      <c r="L146" s="341">
        <v>60</v>
      </c>
      <c r="M146" s="343">
        <f t="shared" si="9"/>
        <v>25.861666666666668</v>
      </c>
      <c r="N146" s="344">
        <f ca="1" t="shared" si="10"/>
        <v>49</v>
      </c>
      <c r="O146" s="348">
        <f t="shared" si="11"/>
        <v>284.47833333333324</v>
      </c>
      <c r="P146" s="340" t="s">
        <v>2067</v>
      </c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</row>
    <row r="147" spans="2:46" s="3" customFormat="1" ht="78.75" customHeight="1">
      <c r="B147" s="355">
        <v>43087</v>
      </c>
      <c r="C147" s="340" t="s">
        <v>2065</v>
      </c>
      <c r="D147" s="341" t="s">
        <v>2839</v>
      </c>
      <c r="E147" s="339" t="s">
        <v>2068</v>
      </c>
      <c r="F147" s="341" t="s">
        <v>42</v>
      </c>
      <c r="G147" s="341" t="s">
        <v>2322</v>
      </c>
      <c r="H147" s="341" t="s">
        <v>2323</v>
      </c>
      <c r="I147" s="353">
        <v>1551.7</v>
      </c>
      <c r="J147" s="353">
        <v>48.1172</v>
      </c>
      <c r="K147" s="354">
        <f t="shared" si="8"/>
        <v>32.24834362764251</v>
      </c>
      <c r="L147" s="341">
        <v>60</v>
      </c>
      <c r="M147" s="343">
        <f t="shared" si="9"/>
        <v>25.861666666666668</v>
      </c>
      <c r="N147" s="344">
        <f ca="1" t="shared" si="10"/>
        <v>49</v>
      </c>
      <c r="O147" s="348">
        <f t="shared" si="11"/>
        <v>284.47833333333324</v>
      </c>
      <c r="P147" s="340" t="s">
        <v>2067</v>
      </c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</row>
    <row r="148" spans="2:46" s="3" customFormat="1" ht="81" customHeight="1">
      <c r="B148" s="355">
        <v>43087</v>
      </c>
      <c r="C148" s="340" t="s">
        <v>2065</v>
      </c>
      <c r="D148" s="341" t="s">
        <v>2840</v>
      </c>
      <c r="E148" s="339" t="s">
        <v>2069</v>
      </c>
      <c r="F148" s="341" t="s">
        <v>42</v>
      </c>
      <c r="G148" s="341" t="s">
        <v>821</v>
      </c>
      <c r="H148" s="341" t="s">
        <v>2320</v>
      </c>
      <c r="I148" s="353">
        <v>6655.2</v>
      </c>
      <c r="J148" s="353">
        <v>48.1172</v>
      </c>
      <c r="K148" s="354">
        <f t="shared" si="8"/>
        <v>138.31228749802565</v>
      </c>
      <c r="L148" s="341">
        <v>60</v>
      </c>
      <c r="M148" s="343">
        <f t="shared" si="9"/>
        <v>110.92</v>
      </c>
      <c r="N148" s="344">
        <f ca="1" t="shared" si="10"/>
        <v>49</v>
      </c>
      <c r="O148" s="348">
        <f t="shared" si="11"/>
        <v>1220.12</v>
      </c>
      <c r="P148" s="340" t="s">
        <v>2067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</row>
    <row r="149" spans="2:46" s="3" customFormat="1" ht="50.25" customHeight="1">
      <c r="B149" s="355">
        <v>43087</v>
      </c>
      <c r="C149" s="340" t="s">
        <v>2065</v>
      </c>
      <c r="D149" s="341" t="s">
        <v>2841</v>
      </c>
      <c r="E149" s="339" t="s">
        <v>2069</v>
      </c>
      <c r="F149" s="341" t="s">
        <v>42</v>
      </c>
      <c r="G149" s="341" t="s">
        <v>826</v>
      </c>
      <c r="H149" s="341" t="s">
        <v>2321</v>
      </c>
      <c r="I149" s="353">
        <v>6655.2</v>
      </c>
      <c r="J149" s="353">
        <v>48.1172</v>
      </c>
      <c r="K149" s="354">
        <f t="shared" si="8"/>
        <v>138.31228749802565</v>
      </c>
      <c r="L149" s="341">
        <v>60</v>
      </c>
      <c r="M149" s="343">
        <f t="shared" si="9"/>
        <v>110.92</v>
      </c>
      <c r="N149" s="344">
        <f ca="1" t="shared" si="10"/>
        <v>49</v>
      </c>
      <c r="O149" s="348">
        <f t="shared" si="11"/>
        <v>1220.12</v>
      </c>
      <c r="P149" s="340" t="s">
        <v>2067</v>
      </c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</row>
    <row r="150" spans="2:46" s="3" customFormat="1" ht="46.5" customHeight="1">
      <c r="B150" s="355">
        <v>43087</v>
      </c>
      <c r="C150" s="340" t="s">
        <v>2065</v>
      </c>
      <c r="D150" s="341" t="s">
        <v>2842</v>
      </c>
      <c r="E150" s="339" t="s">
        <v>2069</v>
      </c>
      <c r="F150" s="341" t="s">
        <v>42</v>
      </c>
      <c r="G150" s="341" t="s">
        <v>2865</v>
      </c>
      <c r="H150" s="341" t="s">
        <v>2325</v>
      </c>
      <c r="I150" s="353">
        <v>6655.2</v>
      </c>
      <c r="J150" s="353">
        <v>48.1172</v>
      </c>
      <c r="K150" s="354">
        <f t="shared" si="8"/>
        <v>138.31228749802565</v>
      </c>
      <c r="L150" s="341">
        <v>60</v>
      </c>
      <c r="M150" s="343">
        <f t="shared" si="9"/>
        <v>110.92</v>
      </c>
      <c r="N150" s="344">
        <f ca="1" t="shared" si="10"/>
        <v>49</v>
      </c>
      <c r="O150" s="348">
        <f t="shared" si="11"/>
        <v>1220.12</v>
      </c>
      <c r="P150" s="340" t="s">
        <v>2067</v>
      </c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</row>
    <row r="151" spans="2:46" s="3" customFormat="1" ht="51" customHeight="1">
      <c r="B151" s="355">
        <v>43087</v>
      </c>
      <c r="C151" s="340" t="s">
        <v>2065</v>
      </c>
      <c r="D151" s="341" t="s">
        <v>2843</v>
      </c>
      <c r="E151" s="339" t="s">
        <v>2069</v>
      </c>
      <c r="F151" s="341" t="s">
        <v>42</v>
      </c>
      <c r="G151" s="341" t="s">
        <v>2322</v>
      </c>
      <c r="H151" s="341" t="s">
        <v>2323</v>
      </c>
      <c r="I151" s="353">
        <v>6655.2</v>
      </c>
      <c r="J151" s="353">
        <v>48.1172</v>
      </c>
      <c r="K151" s="354">
        <f t="shared" si="8"/>
        <v>138.31228749802565</v>
      </c>
      <c r="L151" s="341">
        <v>60</v>
      </c>
      <c r="M151" s="343">
        <f t="shared" si="9"/>
        <v>110.92</v>
      </c>
      <c r="N151" s="344">
        <f ca="1" t="shared" si="10"/>
        <v>49</v>
      </c>
      <c r="O151" s="348">
        <f t="shared" si="11"/>
        <v>1220.12</v>
      </c>
      <c r="P151" s="340" t="s">
        <v>2067</v>
      </c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</row>
    <row r="152" spans="2:46" s="3" customFormat="1" ht="75" customHeight="1">
      <c r="B152" s="355">
        <v>43087</v>
      </c>
      <c r="C152" s="340" t="s">
        <v>2070</v>
      </c>
      <c r="D152" s="341" t="s">
        <v>2844</v>
      </c>
      <c r="E152" s="339" t="s">
        <v>2071</v>
      </c>
      <c r="F152" s="341" t="s">
        <v>42</v>
      </c>
      <c r="G152" s="341" t="s">
        <v>821</v>
      </c>
      <c r="H152" s="341" t="s">
        <v>2320</v>
      </c>
      <c r="I152" s="353">
        <v>4264.857</v>
      </c>
      <c r="J152" s="353">
        <v>48.1172</v>
      </c>
      <c r="K152" s="354">
        <f>+I152/J152</f>
        <v>88.63477093430208</v>
      </c>
      <c r="L152" s="341">
        <v>60</v>
      </c>
      <c r="M152" s="343">
        <f>IF(AND(I152&lt;&gt;0,L152&lt;&gt;0),I152/L152,0)</f>
        <v>71.08095</v>
      </c>
      <c r="N152" s="344">
        <f ca="1" t="shared" si="10"/>
        <v>49</v>
      </c>
      <c r="O152" s="348">
        <f t="shared" si="11"/>
        <v>781.8904499999999</v>
      </c>
      <c r="P152" s="340" t="s">
        <v>2072</v>
      </c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</row>
    <row r="153" spans="2:46" s="3" customFormat="1" ht="80.25" customHeight="1">
      <c r="B153" s="355">
        <v>43087</v>
      </c>
      <c r="C153" s="340" t="s">
        <v>2070</v>
      </c>
      <c r="D153" s="341" t="s">
        <v>2845</v>
      </c>
      <c r="E153" s="339" t="s">
        <v>2071</v>
      </c>
      <c r="F153" s="341" t="s">
        <v>42</v>
      </c>
      <c r="G153" s="341" t="s">
        <v>821</v>
      </c>
      <c r="H153" s="341" t="s">
        <v>2320</v>
      </c>
      <c r="I153" s="353">
        <v>4264.857</v>
      </c>
      <c r="J153" s="353">
        <v>48.1172</v>
      </c>
      <c r="K153" s="354">
        <f aca="true" t="shared" si="12" ref="K153:K183">+I153/J153</f>
        <v>88.63477093430208</v>
      </c>
      <c r="L153" s="341">
        <v>60</v>
      </c>
      <c r="M153" s="343">
        <f aca="true" t="shared" si="13" ref="M153:M183">IF(AND(I153&lt;&gt;0,L153&lt;&gt;0),I153/L153,0)</f>
        <v>71.08095</v>
      </c>
      <c r="N153" s="344">
        <f ca="1" t="shared" si="10"/>
        <v>49</v>
      </c>
      <c r="O153" s="348">
        <f t="shared" si="11"/>
        <v>781.8904499999999</v>
      </c>
      <c r="P153" s="340" t="s">
        <v>2072</v>
      </c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</row>
    <row r="154" spans="2:46" s="3" customFormat="1" ht="67.5" customHeight="1">
      <c r="B154" s="355">
        <v>43087</v>
      </c>
      <c r="C154" s="340" t="s">
        <v>2070</v>
      </c>
      <c r="D154" s="341" t="s">
        <v>2846</v>
      </c>
      <c r="E154" s="339" t="s">
        <v>2071</v>
      </c>
      <c r="F154" s="341" t="s">
        <v>42</v>
      </c>
      <c r="G154" s="341" t="s">
        <v>826</v>
      </c>
      <c r="H154" s="341" t="s">
        <v>2321</v>
      </c>
      <c r="I154" s="353">
        <v>4264.857</v>
      </c>
      <c r="J154" s="353">
        <v>48.1172</v>
      </c>
      <c r="K154" s="354">
        <f t="shared" si="12"/>
        <v>88.63477093430208</v>
      </c>
      <c r="L154" s="341">
        <v>60</v>
      </c>
      <c r="M154" s="343">
        <f t="shared" si="13"/>
        <v>71.08095</v>
      </c>
      <c r="N154" s="344">
        <f ca="1" t="shared" si="10"/>
        <v>49</v>
      </c>
      <c r="O154" s="348">
        <f t="shared" si="11"/>
        <v>781.8904499999999</v>
      </c>
      <c r="P154" s="340" t="s">
        <v>2072</v>
      </c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</row>
    <row r="155" spans="2:46" s="3" customFormat="1" ht="69.75" customHeight="1">
      <c r="B155" s="355">
        <v>43087</v>
      </c>
      <c r="C155" s="340" t="s">
        <v>2070</v>
      </c>
      <c r="D155" s="341" t="s">
        <v>2847</v>
      </c>
      <c r="E155" s="339" t="s">
        <v>2071</v>
      </c>
      <c r="F155" s="341" t="s">
        <v>42</v>
      </c>
      <c r="G155" s="341" t="s">
        <v>2865</v>
      </c>
      <c r="H155" s="341" t="s">
        <v>2325</v>
      </c>
      <c r="I155" s="353">
        <v>4264.857</v>
      </c>
      <c r="J155" s="353">
        <v>48.1172</v>
      </c>
      <c r="K155" s="354">
        <f t="shared" si="12"/>
        <v>88.63477093430208</v>
      </c>
      <c r="L155" s="341">
        <v>60</v>
      </c>
      <c r="M155" s="343">
        <f t="shared" si="13"/>
        <v>71.08095</v>
      </c>
      <c r="N155" s="344">
        <f ca="1" t="shared" si="10"/>
        <v>49</v>
      </c>
      <c r="O155" s="348">
        <f t="shared" si="11"/>
        <v>781.8904499999999</v>
      </c>
      <c r="P155" s="340" t="s">
        <v>2072</v>
      </c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</row>
    <row r="156" spans="2:46" s="3" customFormat="1" ht="75" customHeight="1">
      <c r="B156" s="355">
        <v>43087</v>
      </c>
      <c r="C156" s="340" t="s">
        <v>2070</v>
      </c>
      <c r="D156" s="341" t="s">
        <v>2848</v>
      </c>
      <c r="E156" s="339" t="s">
        <v>2071</v>
      </c>
      <c r="F156" s="341" t="s">
        <v>42</v>
      </c>
      <c r="G156" s="341" t="s">
        <v>2865</v>
      </c>
      <c r="H156" s="341" t="s">
        <v>2325</v>
      </c>
      <c r="I156" s="353">
        <v>4264.857</v>
      </c>
      <c r="J156" s="353">
        <v>48.1172</v>
      </c>
      <c r="K156" s="354">
        <f t="shared" si="12"/>
        <v>88.63477093430208</v>
      </c>
      <c r="L156" s="341">
        <v>60</v>
      </c>
      <c r="M156" s="343">
        <f t="shared" si="13"/>
        <v>71.08095</v>
      </c>
      <c r="N156" s="344">
        <f aca="true" ca="1" t="shared" si="14" ref="N156:N219">IF(B156&lt;&gt;0,(ROUND((NOW()-B156)/30,0)),0)</f>
        <v>49</v>
      </c>
      <c r="O156" s="348">
        <f aca="true" t="shared" si="15" ref="O156:O219">IF(OR(I156=0,L156=0,N156=0),0,I156-(M156*N156))</f>
        <v>781.8904499999999</v>
      </c>
      <c r="P156" s="340" t="s">
        <v>2072</v>
      </c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</row>
    <row r="157" spans="2:46" s="3" customFormat="1" ht="74.25" customHeight="1">
      <c r="B157" s="355">
        <v>43087</v>
      </c>
      <c r="C157" s="340" t="s">
        <v>2070</v>
      </c>
      <c r="D157" s="341" t="s">
        <v>2849</v>
      </c>
      <c r="E157" s="339" t="s">
        <v>2071</v>
      </c>
      <c r="F157" s="341" t="s">
        <v>42</v>
      </c>
      <c r="G157" s="341" t="s">
        <v>2865</v>
      </c>
      <c r="H157" s="341" t="s">
        <v>2325</v>
      </c>
      <c r="I157" s="353">
        <v>4264.857</v>
      </c>
      <c r="J157" s="353">
        <v>48.1172</v>
      </c>
      <c r="K157" s="354">
        <f t="shared" si="12"/>
        <v>88.63477093430208</v>
      </c>
      <c r="L157" s="341">
        <v>60</v>
      </c>
      <c r="M157" s="343">
        <f t="shared" si="13"/>
        <v>71.08095</v>
      </c>
      <c r="N157" s="344">
        <f ca="1" t="shared" si="14"/>
        <v>49</v>
      </c>
      <c r="O157" s="348">
        <f t="shared" si="15"/>
        <v>781.8904499999999</v>
      </c>
      <c r="P157" s="340" t="s">
        <v>2072</v>
      </c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</row>
    <row r="158" spans="2:46" s="3" customFormat="1" ht="76.5" customHeight="1">
      <c r="B158" s="355">
        <v>43087</v>
      </c>
      <c r="C158" s="340" t="s">
        <v>2070</v>
      </c>
      <c r="D158" s="341" t="s">
        <v>2850</v>
      </c>
      <c r="E158" s="339" t="s">
        <v>2071</v>
      </c>
      <c r="F158" s="341" t="s">
        <v>42</v>
      </c>
      <c r="G158" s="341" t="s">
        <v>2322</v>
      </c>
      <c r="H158" s="341" t="s">
        <v>2323</v>
      </c>
      <c r="I158" s="353">
        <v>4264.857</v>
      </c>
      <c r="J158" s="353">
        <v>48.1172</v>
      </c>
      <c r="K158" s="354">
        <f t="shared" si="12"/>
        <v>88.63477093430208</v>
      </c>
      <c r="L158" s="341">
        <v>60</v>
      </c>
      <c r="M158" s="343">
        <f t="shared" si="13"/>
        <v>71.08095</v>
      </c>
      <c r="N158" s="344">
        <f ca="1" t="shared" si="14"/>
        <v>49</v>
      </c>
      <c r="O158" s="348">
        <f t="shared" si="15"/>
        <v>781.8904499999999</v>
      </c>
      <c r="P158" s="340" t="s">
        <v>2072</v>
      </c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</row>
    <row r="159" spans="2:46" s="3" customFormat="1" ht="99.75" customHeight="1">
      <c r="B159" s="355">
        <v>43089</v>
      </c>
      <c r="C159" s="340" t="s">
        <v>2073</v>
      </c>
      <c r="D159" s="341" t="s">
        <v>2851</v>
      </c>
      <c r="E159" s="339" t="s">
        <v>2315</v>
      </c>
      <c r="F159" s="341" t="s">
        <v>2646</v>
      </c>
      <c r="G159" s="341" t="s">
        <v>221</v>
      </c>
      <c r="H159" s="341" t="s">
        <v>437</v>
      </c>
      <c r="I159" s="353">
        <v>597112</v>
      </c>
      <c r="J159" s="353">
        <v>48.1643</v>
      </c>
      <c r="K159" s="354">
        <f t="shared" si="12"/>
        <v>12397.398072846487</v>
      </c>
      <c r="L159" s="341">
        <v>60</v>
      </c>
      <c r="M159" s="343">
        <f t="shared" si="13"/>
        <v>9951.866666666667</v>
      </c>
      <c r="N159" s="344">
        <f ca="1" t="shared" si="14"/>
        <v>49</v>
      </c>
      <c r="O159" s="348">
        <f t="shared" si="15"/>
        <v>109470.53333333333</v>
      </c>
      <c r="P159" s="340" t="s">
        <v>2074</v>
      </c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</row>
    <row r="160" spans="2:46" s="3" customFormat="1" ht="46.5" customHeight="1">
      <c r="B160" s="355">
        <v>43089</v>
      </c>
      <c r="C160" s="340" t="s">
        <v>2073</v>
      </c>
      <c r="D160" s="341" t="s">
        <v>2852</v>
      </c>
      <c r="E160" s="339" t="s">
        <v>2316</v>
      </c>
      <c r="F160" s="341" t="s">
        <v>2646</v>
      </c>
      <c r="G160" s="341" t="s">
        <v>1830</v>
      </c>
      <c r="H160" s="341" t="s">
        <v>437</v>
      </c>
      <c r="I160" s="353">
        <f aca="true" t="shared" si="16" ref="I160:I166">143400+25812</f>
        <v>169212</v>
      </c>
      <c r="J160" s="353">
        <v>48.1643</v>
      </c>
      <c r="K160" s="354">
        <f t="shared" si="12"/>
        <v>3513.2245252188864</v>
      </c>
      <c r="L160" s="341">
        <v>60</v>
      </c>
      <c r="M160" s="343">
        <f t="shared" si="13"/>
        <v>2820.2</v>
      </c>
      <c r="N160" s="344">
        <f ca="1" t="shared" si="14"/>
        <v>49</v>
      </c>
      <c r="O160" s="348">
        <f t="shared" si="15"/>
        <v>31022.20000000001</v>
      </c>
      <c r="P160" s="340" t="s">
        <v>2074</v>
      </c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</row>
    <row r="161" spans="2:46" s="3" customFormat="1" ht="46.5" customHeight="1">
      <c r="B161" s="355">
        <v>43089</v>
      </c>
      <c r="C161" s="340" t="s">
        <v>2073</v>
      </c>
      <c r="D161" s="341" t="s">
        <v>2853</v>
      </c>
      <c r="E161" s="339" t="s">
        <v>2316</v>
      </c>
      <c r="F161" s="341" t="s">
        <v>2646</v>
      </c>
      <c r="G161" s="341" t="s">
        <v>2075</v>
      </c>
      <c r="H161" s="341" t="s">
        <v>437</v>
      </c>
      <c r="I161" s="353">
        <f t="shared" si="16"/>
        <v>169212</v>
      </c>
      <c r="J161" s="353">
        <v>48.1643</v>
      </c>
      <c r="K161" s="354">
        <f t="shared" si="12"/>
        <v>3513.2245252188864</v>
      </c>
      <c r="L161" s="341">
        <v>60</v>
      </c>
      <c r="M161" s="343">
        <f t="shared" si="13"/>
        <v>2820.2</v>
      </c>
      <c r="N161" s="344">
        <f ca="1" t="shared" si="14"/>
        <v>49</v>
      </c>
      <c r="O161" s="348">
        <f t="shared" si="15"/>
        <v>31022.20000000001</v>
      </c>
      <c r="P161" s="340" t="s">
        <v>2074</v>
      </c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</row>
    <row r="162" spans="2:46" s="3" customFormat="1" ht="48" customHeight="1">
      <c r="B162" s="355">
        <v>43089</v>
      </c>
      <c r="C162" s="340" t="s">
        <v>2073</v>
      </c>
      <c r="D162" s="341" t="s">
        <v>2854</v>
      </c>
      <c r="E162" s="339" t="s">
        <v>2316</v>
      </c>
      <c r="F162" s="341" t="s">
        <v>2646</v>
      </c>
      <c r="G162" s="341" t="s">
        <v>2645</v>
      </c>
      <c r="H162" s="341" t="s">
        <v>437</v>
      </c>
      <c r="I162" s="353">
        <f t="shared" si="16"/>
        <v>169212</v>
      </c>
      <c r="J162" s="353">
        <v>48.1643</v>
      </c>
      <c r="K162" s="354">
        <f t="shared" si="12"/>
        <v>3513.2245252188864</v>
      </c>
      <c r="L162" s="341">
        <v>60</v>
      </c>
      <c r="M162" s="343">
        <f t="shared" si="13"/>
        <v>2820.2</v>
      </c>
      <c r="N162" s="344">
        <f ca="1" t="shared" si="14"/>
        <v>49</v>
      </c>
      <c r="O162" s="348">
        <f t="shared" si="15"/>
        <v>31022.20000000001</v>
      </c>
      <c r="P162" s="340" t="s">
        <v>2074</v>
      </c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</row>
    <row r="163" spans="2:46" s="3" customFormat="1" ht="46.5" customHeight="1">
      <c r="B163" s="355">
        <v>43089</v>
      </c>
      <c r="C163" s="340" t="s">
        <v>2073</v>
      </c>
      <c r="D163" s="341" t="s">
        <v>2855</v>
      </c>
      <c r="E163" s="339" t="s">
        <v>2316</v>
      </c>
      <c r="F163" s="341" t="s">
        <v>2646</v>
      </c>
      <c r="G163" s="341" t="s">
        <v>3269</v>
      </c>
      <c r="H163" s="341" t="s">
        <v>3270</v>
      </c>
      <c r="I163" s="353">
        <f t="shared" si="16"/>
        <v>169212</v>
      </c>
      <c r="J163" s="353">
        <v>48.1643</v>
      </c>
      <c r="K163" s="354">
        <f t="shared" si="12"/>
        <v>3513.2245252188864</v>
      </c>
      <c r="L163" s="341">
        <v>60</v>
      </c>
      <c r="M163" s="343">
        <f t="shared" si="13"/>
        <v>2820.2</v>
      </c>
      <c r="N163" s="344">
        <f ca="1" t="shared" si="14"/>
        <v>49</v>
      </c>
      <c r="O163" s="348">
        <f t="shared" si="15"/>
        <v>31022.20000000001</v>
      </c>
      <c r="P163" s="340" t="s">
        <v>2074</v>
      </c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</row>
    <row r="164" spans="2:46" s="3" customFormat="1" ht="46.5" customHeight="1">
      <c r="B164" s="355">
        <v>43089</v>
      </c>
      <c r="C164" s="340" t="s">
        <v>2073</v>
      </c>
      <c r="D164" s="341" t="s">
        <v>2856</v>
      </c>
      <c r="E164" s="339" t="s">
        <v>2316</v>
      </c>
      <c r="F164" s="341" t="s">
        <v>2646</v>
      </c>
      <c r="G164" s="566" t="s">
        <v>615</v>
      </c>
      <c r="H164" s="341" t="s">
        <v>437</v>
      </c>
      <c r="I164" s="353">
        <f t="shared" si="16"/>
        <v>169212</v>
      </c>
      <c r="J164" s="353">
        <v>48.1643</v>
      </c>
      <c r="K164" s="354">
        <f t="shared" si="12"/>
        <v>3513.2245252188864</v>
      </c>
      <c r="L164" s="341">
        <v>60</v>
      </c>
      <c r="M164" s="343">
        <f t="shared" si="13"/>
        <v>2820.2</v>
      </c>
      <c r="N164" s="344">
        <f ca="1" t="shared" si="14"/>
        <v>49</v>
      </c>
      <c r="O164" s="348">
        <f t="shared" si="15"/>
        <v>31022.20000000001</v>
      </c>
      <c r="P164" s="340" t="s">
        <v>2074</v>
      </c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</row>
    <row r="165" spans="2:46" s="3" customFormat="1" ht="46.5" customHeight="1">
      <c r="B165" s="355">
        <v>43089</v>
      </c>
      <c r="C165" s="340" t="s">
        <v>2073</v>
      </c>
      <c r="D165" s="341" t="s">
        <v>2857</v>
      </c>
      <c r="E165" s="339" t="s">
        <v>2316</v>
      </c>
      <c r="F165" s="341" t="s">
        <v>2646</v>
      </c>
      <c r="G165" s="566" t="s">
        <v>449</v>
      </c>
      <c r="H165" s="341" t="s">
        <v>437</v>
      </c>
      <c r="I165" s="353">
        <f t="shared" si="16"/>
        <v>169212</v>
      </c>
      <c r="J165" s="353">
        <v>48.1643</v>
      </c>
      <c r="K165" s="354">
        <f t="shared" si="12"/>
        <v>3513.2245252188864</v>
      </c>
      <c r="L165" s="341">
        <v>60</v>
      </c>
      <c r="M165" s="343">
        <f t="shared" si="13"/>
        <v>2820.2</v>
      </c>
      <c r="N165" s="344">
        <f ca="1" t="shared" si="14"/>
        <v>49</v>
      </c>
      <c r="O165" s="348">
        <f t="shared" si="15"/>
        <v>31022.20000000001</v>
      </c>
      <c r="P165" s="340" t="s">
        <v>2074</v>
      </c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</row>
    <row r="166" spans="2:46" s="3" customFormat="1" ht="46.5" customHeight="1">
      <c r="B166" s="355">
        <v>43089</v>
      </c>
      <c r="C166" s="340" t="s">
        <v>2073</v>
      </c>
      <c r="D166" s="341" t="s">
        <v>2858</v>
      </c>
      <c r="E166" s="339" t="s">
        <v>2316</v>
      </c>
      <c r="F166" s="341" t="s">
        <v>2646</v>
      </c>
      <c r="G166" s="341" t="s">
        <v>2076</v>
      </c>
      <c r="H166" s="341" t="s">
        <v>437</v>
      </c>
      <c r="I166" s="353">
        <f t="shared" si="16"/>
        <v>169212</v>
      </c>
      <c r="J166" s="353">
        <v>48.1643</v>
      </c>
      <c r="K166" s="354">
        <f t="shared" si="12"/>
        <v>3513.2245252188864</v>
      </c>
      <c r="L166" s="341">
        <v>60</v>
      </c>
      <c r="M166" s="343">
        <f t="shared" si="13"/>
        <v>2820.2</v>
      </c>
      <c r="N166" s="344">
        <f ca="1" t="shared" si="14"/>
        <v>49</v>
      </c>
      <c r="O166" s="348">
        <f t="shared" si="15"/>
        <v>31022.20000000001</v>
      </c>
      <c r="P166" s="340" t="s">
        <v>2074</v>
      </c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</row>
    <row r="167" spans="2:46" s="3" customFormat="1" ht="45" customHeight="1">
      <c r="B167" s="355">
        <v>43089</v>
      </c>
      <c r="C167" s="340" t="s">
        <v>2073</v>
      </c>
      <c r="D167" s="341" t="s">
        <v>2859</v>
      </c>
      <c r="E167" s="339" t="s">
        <v>2077</v>
      </c>
      <c r="F167" s="341" t="s">
        <v>2646</v>
      </c>
      <c r="G167" s="341" t="s">
        <v>1835</v>
      </c>
      <c r="H167" s="341" t="s">
        <v>437</v>
      </c>
      <c r="I167" s="353">
        <v>114900</v>
      </c>
      <c r="J167" s="353">
        <v>48.1643</v>
      </c>
      <c r="K167" s="354">
        <f>+I167/J167</f>
        <v>2385.584343590585</v>
      </c>
      <c r="L167" s="341">
        <v>120</v>
      </c>
      <c r="M167" s="343">
        <f>IF(AND(I167&lt;&gt;0,L167&lt;&gt;0),I167/L167,0)</f>
        <v>957.5</v>
      </c>
      <c r="N167" s="344">
        <f ca="1">IF(B167&lt;&gt;0,(ROUND((NOW()-B167)/30,0)),0)</f>
        <v>49</v>
      </c>
      <c r="O167" s="348">
        <f>IF(OR(I167=0,L167=0,N167=0),0,I167-(M167*N167))</f>
        <v>67982.5</v>
      </c>
      <c r="P167" s="340" t="s">
        <v>2074</v>
      </c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</row>
    <row r="168" spans="1:46" s="3" customFormat="1" ht="51" customHeight="1">
      <c r="A168" s="291"/>
      <c r="B168" s="626">
        <v>43096</v>
      </c>
      <c r="C168" s="627" t="s">
        <v>2078</v>
      </c>
      <c r="D168" s="616" t="s">
        <v>2860</v>
      </c>
      <c r="E168" s="617" t="s">
        <v>3901</v>
      </c>
      <c r="F168" s="616" t="s">
        <v>2079</v>
      </c>
      <c r="G168" s="616" t="s">
        <v>429</v>
      </c>
      <c r="H168" s="616" t="s">
        <v>437</v>
      </c>
      <c r="I168" s="628">
        <v>1546200</v>
      </c>
      <c r="J168" s="628">
        <v>48.1879</v>
      </c>
      <c r="K168" s="629">
        <f t="shared" si="12"/>
        <v>32086.893182728443</v>
      </c>
      <c r="L168" s="616">
        <v>60</v>
      </c>
      <c r="M168" s="630">
        <f t="shared" si="13"/>
        <v>25770</v>
      </c>
      <c r="N168" s="618">
        <f ca="1" t="shared" si="14"/>
        <v>49</v>
      </c>
      <c r="O168" s="619">
        <f t="shared" si="15"/>
        <v>283470</v>
      </c>
      <c r="P168" s="627" t="s">
        <v>430</v>
      </c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</row>
    <row r="169" spans="1:46" s="3" customFormat="1" ht="50.25" customHeight="1">
      <c r="A169" s="291"/>
      <c r="B169" s="626">
        <v>43096</v>
      </c>
      <c r="C169" s="627" t="s">
        <v>2078</v>
      </c>
      <c r="D169" s="616" t="s">
        <v>2861</v>
      </c>
      <c r="E169" s="617" t="s">
        <v>3904</v>
      </c>
      <c r="F169" s="616" t="s">
        <v>2080</v>
      </c>
      <c r="G169" s="616" t="s">
        <v>429</v>
      </c>
      <c r="H169" s="616" t="s">
        <v>437</v>
      </c>
      <c r="I169" s="628">
        <v>1546200</v>
      </c>
      <c r="J169" s="628">
        <v>48.1879</v>
      </c>
      <c r="K169" s="629">
        <f t="shared" si="12"/>
        <v>32086.893182728443</v>
      </c>
      <c r="L169" s="616">
        <v>60</v>
      </c>
      <c r="M169" s="630">
        <f t="shared" si="13"/>
        <v>25770</v>
      </c>
      <c r="N169" s="618">
        <f ca="1" t="shared" si="14"/>
        <v>49</v>
      </c>
      <c r="O169" s="619">
        <f t="shared" si="15"/>
        <v>283470</v>
      </c>
      <c r="P169" s="627" t="s">
        <v>430</v>
      </c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</row>
    <row r="170" spans="1:46" s="3" customFormat="1" ht="52.5" customHeight="1">
      <c r="A170" s="291"/>
      <c r="B170" s="626">
        <v>43096</v>
      </c>
      <c r="C170" s="627" t="s">
        <v>2078</v>
      </c>
      <c r="D170" s="616" t="s">
        <v>2864</v>
      </c>
      <c r="E170" s="617" t="s">
        <v>3903</v>
      </c>
      <c r="F170" s="616" t="s">
        <v>2081</v>
      </c>
      <c r="G170" s="616" t="s">
        <v>429</v>
      </c>
      <c r="H170" s="616" t="s">
        <v>437</v>
      </c>
      <c r="I170" s="628">
        <v>1546200</v>
      </c>
      <c r="J170" s="628">
        <v>48.1879</v>
      </c>
      <c r="K170" s="629">
        <f t="shared" si="12"/>
        <v>32086.893182728443</v>
      </c>
      <c r="L170" s="616">
        <v>60</v>
      </c>
      <c r="M170" s="630">
        <f t="shared" si="13"/>
        <v>25770</v>
      </c>
      <c r="N170" s="618">
        <f ca="1" t="shared" si="14"/>
        <v>49</v>
      </c>
      <c r="O170" s="619">
        <f t="shared" si="15"/>
        <v>283470</v>
      </c>
      <c r="P170" s="627" t="s">
        <v>430</v>
      </c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</row>
    <row r="171" spans="1:46" s="3" customFormat="1" ht="54.75" customHeight="1">
      <c r="A171" s="291"/>
      <c r="B171" s="626">
        <v>43096</v>
      </c>
      <c r="C171" s="627" t="s">
        <v>2078</v>
      </c>
      <c r="D171" s="616" t="s">
        <v>2862</v>
      </c>
      <c r="E171" s="617" t="s">
        <v>3902</v>
      </c>
      <c r="F171" s="616" t="s">
        <v>2082</v>
      </c>
      <c r="G171" s="616" t="s">
        <v>429</v>
      </c>
      <c r="H171" s="616" t="s">
        <v>437</v>
      </c>
      <c r="I171" s="628">
        <v>1546200</v>
      </c>
      <c r="J171" s="628">
        <v>48.1879</v>
      </c>
      <c r="K171" s="629">
        <f t="shared" si="12"/>
        <v>32086.893182728443</v>
      </c>
      <c r="L171" s="616">
        <v>60</v>
      </c>
      <c r="M171" s="630">
        <f t="shared" si="13"/>
        <v>25770</v>
      </c>
      <c r="N171" s="618">
        <f ca="1" t="shared" si="14"/>
        <v>49</v>
      </c>
      <c r="O171" s="619">
        <f t="shared" si="15"/>
        <v>283470</v>
      </c>
      <c r="P171" s="627" t="s">
        <v>430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</row>
    <row r="172" spans="2:46" s="3" customFormat="1" ht="39.75" customHeight="1">
      <c r="B172" s="355">
        <v>43096</v>
      </c>
      <c r="C172" s="340" t="s">
        <v>2083</v>
      </c>
      <c r="D172" s="341" t="s">
        <v>2863</v>
      </c>
      <c r="E172" s="339" t="s">
        <v>3772</v>
      </c>
      <c r="F172" s="341" t="s">
        <v>2084</v>
      </c>
      <c r="G172" s="341" t="s">
        <v>2695</v>
      </c>
      <c r="H172" s="341" t="s">
        <v>437</v>
      </c>
      <c r="I172" s="353">
        <v>15882.25</v>
      </c>
      <c r="J172" s="353">
        <v>48.1879</v>
      </c>
      <c r="K172" s="354">
        <f t="shared" si="12"/>
        <v>329.5900008093318</v>
      </c>
      <c r="L172" s="341">
        <v>60</v>
      </c>
      <c r="M172" s="343">
        <f t="shared" si="13"/>
        <v>264.70416666666665</v>
      </c>
      <c r="N172" s="344">
        <f ca="1" t="shared" si="14"/>
        <v>49</v>
      </c>
      <c r="O172" s="348">
        <f t="shared" si="15"/>
        <v>2911.7458333333343</v>
      </c>
      <c r="P172" s="340" t="s">
        <v>2085</v>
      </c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</row>
    <row r="173" spans="2:46" s="3" customFormat="1" ht="37.5" customHeight="1">
      <c r="B173" s="355">
        <v>43132</v>
      </c>
      <c r="C173" s="340" t="s">
        <v>2086</v>
      </c>
      <c r="D173" s="341" t="s">
        <v>2087</v>
      </c>
      <c r="E173" s="339" t="s">
        <v>2088</v>
      </c>
      <c r="F173" s="341" t="s">
        <v>2089</v>
      </c>
      <c r="G173" s="341" t="s">
        <v>1835</v>
      </c>
      <c r="H173" s="341" t="s">
        <v>437</v>
      </c>
      <c r="I173" s="570">
        <v>20399</v>
      </c>
      <c r="J173" s="570">
        <v>48.5063</v>
      </c>
      <c r="K173" s="571">
        <f t="shared" si="12"/>
        <v>420.54331086889744</v>
      </c>
      <c r="L173" s="341">
        <v>60</v>
      </c>
      <c r="M173" s="343">
        <f t="shared" si="13"/>
        <v>339.98333333333335</v>
      </c>
      <c r="N173" s="344">
        <f ca="1" t="shared" si="14"/>
        <v>48</v>
      </c>
      <c r="O173" s="572">
        <f t="shared" si="15"/>
        <v>4079.7999999999993</v>
      </c>
      <c r="P173" s="340" t="s">
        <v>2090</v>
      </c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</row>
    <row r="174" spans="2:46" s="3" customFormat="1" ht="151.5" customHeight="1">
      <c r="B174" s="355">
        <v>43132</v>
      </c>
      <c r="C174" s="340" t="s">
        <v>2091</v>
      </c>
      <c r="D174" s="341" t="s">
        <v>2092</v>
      </c>
      <c r="E174" s="339" t="s">
        <v>2093</v>
      </c>
      <c r="F174" s="341">
        <v>1208551</v>
      </c>
      <c r="G174" s="341" t="s">
        <v>1835</v>
      </c>
      <c r="H174" s="341" t="s">
        <v>437</v>
      </c>
      <c r="I174" s="570">
        <f>107000+13500+13900+6900+7400+7800+28170</f>
        <v>184670</v>
      </c>
      <c r="J174" s="570">
        <v>48.5063</v>
      </c>
      <c r="K174" s="571">
        <f t="shared" si="12"/>
        <v>3807.134331004426</v>
      </c>
      <c r="L174" s="341">
        <v>60</v>
      </c>
      <c r="M174" s="343">
        <f t="shared" si="13"/>
        <v>3077.8333333333335</v>
      </c>
      <c r="N174" s="344">
        <f ca="1" t="shared" si="14"/>
        <v>48</v>
      </c>
      <c r="O174" s="572">
        <f t="shared" si="15"/>
        <v>36934</v>
      </c>
      <c r="P174" s="340" t="s">
        <v>2094</v>
      </c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</row>
    <row r="175" spans="2:46" s="3" customFormat="1" ht="116.25" customHeight="1">
      <c r="B175" s="355">
        <v>43132</v>
      </c>
      <c r="C175" s="340" t="s">
        <v>2091</v>
      </c>
      <c r="D175" s="341" t="s">
        <v>2095</v>
      </c>
      <c r="E175" s="339" t="s">
        <v>2096</v>
      </c>
      <c r="F175" s="341" t="s">
        <v>42</v>
      </c>
      <c r="G175" s="341" t="s">
        <v>1835</v>
      </c>
      <c r="H175" s="341" t="s">
        <v>437</v>
      </c>
      <c r="I175" s="570">
        <f>9100+1638</f>
        <v>10738</v>
      </c>
      <c r="J175" s="570">
        <v>48.5063</v>
      </c>
      <c r="K175" s="571">
        <f t="shared" si="12"/>
        <v>221.3733061478612</v>
      </c>
      <c r="L175" s="341">
        <v>60</v>
      </c>
      <c r="M175" s="343">
        <f t="shared" si="13"/>
        <v>178.96666666666667</v>
      </c>
      <c r="N175" s="344">
        <f ca="1" t="shared" si="14"/>
        <v>48</v>
      </c>
      <c r="O175" s="572">
        <f t="shared" si="15"/>
        <v>2147.6000000000004</v>
      </c>
      <c r="P175" s="340" t="s">
        <v>2094</v>
      </c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</row>
    <row r="176" spans="2:46" s="3" customFormat="1" ht="107.25" customHeight="1">
      <c r="B176" s="355">
        <v>43132</v>
      </c>
      <c r="C176" s="340" t="s">
        <v>2091</v>
      </c>
      <c r="D176" s="341" t="s">
        <v>2097</v>
      </c>
      <c r="E176" s="339" t="s">
        <v>2098</v>
      </c>
      <c r="F176" s="341" t="s">
        <v>42</v>
      </c>
      <c r="G176" s="341" t="s">
        <v>1835</v>
      </c>
      <c r="H176" s="341" t="s">
        <v>437</v>
      </c>
      <c r="I176" s="570">
        <f>29500+5310</f>
        <v>34810</v>
      </c>
      <c r="J176" s="570">
        <v>48.5063</v>
      </c>
      <c r="K176" s="571">
        <f t="shared" si="12"/>
        <v>717.6387397100995</v>
      </c>
      <c r="L176" s="341">
        <v>60</v>
      </c>
      <c r="M176" s="343">
        <f t="shared" si="13"/>
        <v>580.1666666666666</v>
      </c>
      <c r="N176" s="344">
        <f ca="1" t="shared" si="14"/>
        <v>48</v>
      </c>
      <c r="O176" s="572">
        <f t="shared" si="15"/>
        <v>6962</v>
      </c>
      <c r="P176" s="340" t="s">
        <v>2094</v>
      </c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</row>
    <row r="177" spans="2:46" s="3" customFormat="1" ht="47.25" customHeight="1">
      <c r="B177" s="355">
        <v>43132</v>
      </c>
      <c r="C177" s="340" t="s">
        <v>2099</v>
      </c>
      <c r="D177" s="341" t="s">
        <v>2100</v>
      </c>
      <c r="E177" s="339" t="s">
        <v>2101</v>
      </c>
      <c r="F177" s="341" t="s">
        <v>2102</v>
      </c>
      <c r="G177" s="341" t="s">
        <v>221</v>
      </c>
      <c r="H177" s="341" t="s">
        <v>437</v>
      </c>
      <c r="I177" s="570">
        <v>118981.76</v>
      </c>
      <c r="J177" s="570">
        <v>48.5063</v>
      </c>
      <c r="K177" s="571">
        <f t="shared" si="12"/>
        <v>2452.913539066059</v>
      </c>
      <c r="L177" s="341">
        <v>60</v>
      </c>
      <c r="M177" s="343">
        <f t="shared" si="13"/>
        <v>1983.0293333333332</v>
      </c>
      <c r="N177" s="344">
        <f ca="1" t="shared" si="14"/>
        <v>48</v>
      </c>
      <c r="O177" s="572">
        <f t="shared" si="15"/>
        <v>23796.352</v>
      </c>
      <c r="P177" s="340" t="s">
        <v>2002</v>
      </c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</row>
    <row r="178" spans="2:46" s="3" customFormat="1" ht="33.75" customHeight="1">
      <c r="B178" s="355">
        <v>43132</v>
      </c>
      <c r="C178" s="340" t="s">
        <v>2099</v>
      </c>
      <c r="D178" s="341" t="s">
        <v>2103</v>
      </c>
      <c r="E178" s="339" t="s">
        <v>2104</v>
      </c>
      <c r="F178" s="341" t="s">
        <v>2105</v>
      </c>
      <c r="G178" s="341" t="s">
        <v>3594</v>
      </c>
      <c r="H178" s="341" t="s">
        <v>437</v>
      </c>
      <c r="I178" s="570">
        <f>70000+12600</f>
        <v>82600</v>
      </c>
      <c r="J178" s="570">
        <v>48.5063</v>
      </c>
      <c r="K178" s="571">
        <f>+I178/J178</f>
        <v>1702.8715857527784</v>
      </c>
      <c r="L178" s="341">
        <v>60</v>
      </c>
      <c r="M178" s="343">
        <f>IF(AND(I178&lt;&gt;0,L178&lt;&gt;0),I178/L178,0)</f>
        <v>1376.6666666666667</v>
      </c>
      <c r="N178" s="344">
        <f ca="1" t="shared" si="14"/>
        <v>48</v>
      </c>
      <c r="O178" s="572">
        <f t="shared" si="15"/>
        <v>16520</v>
      </c>
      <c r="P178" s="340" t="s">
        <v>2002</v>
      </c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</row>
    <row r="179" spans="2:46" s="3" customFormat="1" ht="36.75" customHeight="1">
      <c r="B179" s="355">
        <v>43132</v>
      </c>
      <c r="C179" s="340" t="s">
        <v>2099</v>
      </c>
      <c r="D179" s="341" t="s">
        <v>2106</v>
      </c>
      <c r="E179" s="339" t="s">
        <v>2104</v>
      </c>
      <c r="F179" s="341" t="s">
        <v>2107</v>
      </c>
      <c r="G179" s="341" t="s">
        <v>3483</v>
      </c>
      <c r="H179" s="341" t="s">
        <v>437</v>
      </c>
      <c r="I179" s="570">
        <f>70000+12600</f>
        <v>82600</v>
      </c>
      <c r="J179" s="570">
        <v>48.5063</v>
      </c>
      <c r="K179" s="571">
        <f t="shared" si="12"/>
        <v>1702.8715857527784</v>
      </c>
      <c r="L179" s="341">
        <v>60</v>
      </c>
      <c r="M179" s="343">
        <f t="shared" si="13"/>
        <v>1376.6666666666667</v>
      </c>
      <c r="N179" s="344">
        <f ca="1" t="shared" si="14"/>
        <v>48</v>
      </c>
      <c r="O179" s="572">
        <f t="shared" si="15"/>
        <v>16520</v>
      </c>
      <c r="P179" s="340" t="s">
        <v>2002</v>
      </c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</row>
    <row r="180" spans="2:46" s="3" customFormat="1" ht="33.75" customHeight="1">
      <c r="B180" s="355">
        <v>43132</v>
      </c>
      <c r="C180" s="340" t="s">
        <v>2099</v>
      </c>
      <c r="D180" s="341" t="s">
        <v>2108</v>
      </c>
      <c r="E180" s="339" t="s">
        <v>1997</v>
      </c>
      <c r="F180" s="341" t="s">
        <v>2109</v>
      </c>
      <c r="G180" s="341" t="s">
        <v>3595</v>
      </c>
      <c r="H180" s="341" t="s">
        <v>437</v>
      </c>
      <c r="I180" s="570">
        <f>23680+4262.4</f>
        <v>27942.4</v>
      </c>
      <c r="J180" s="570">
        <v>48.5063</v>
      </c>
      <c r="K180" s="571">
        <f t="shared" si="12"/>
        <v>576.0571307232257</v>
      </c>
      <c r="L180" s="341">
        <v>60</v>
      </c>
      <c r="M180" s="343">
        <f t="shared" si="13"/>
        <v>465.7066666666667</v>
      </c>
      <c r="N180" s="344">
        <f ca="1" t="shared" si="14"/>
        <v>48</v>
      </c>
      <c r="O180" s="572">
        <f t="shared" si="15"/>
        <v>5588.48</v>
      </c>
      <c r="P180" s="340" t="s">
        <v>2002</v>
      </c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</row>
    <row r="181" spans="2:46" s="3" customFormat="1" ht="27" customHeight="1">
      <c r="B181" s="355">
        <v>43132</v>
      </c>
      <c r="C181" s="340" t="s">
        <v>2099</v>
      </c>
      <c r="D181" s="341" t="s">
        <v>2110</v>
      </c>
      <c r="E181" s="339" t="s">
        <v>1997</v>
      </c>
      <c r="F181" s="341" t="s">
        <v>2111</v>
      </c>
      <c r="G181" s="341" t="s">
        <v>533</v>
      </c>
      <c r="H181" s="341" t="s">
        <v>437</v>
      </c>
      <c r="I181" s="570">
        <f>23680+4262.4</f>
        <v>27942.4</v>
      </c>
      <c r="J181" s="570">
        <v>48.5063</v>
      </c>
      <c r="K181" s="571">
        <f t="shared" si="12"/>
        <v>576.0571307232257</v>
      </c>
      <c r="L181" s="341">
        <v>60</v>
      </c>
      <c r="M181" s="343">
        <f t="shared" si="13"/>
        <v>465.7066666666667</v>
      </c>
      <c r="N181" s="344">
        <f ca="1" t="shared" si="14"/>
        <v>48</v>
      </c>
      <c r="O181" s="572">
        <f t="shared" si="15"/>
        <v>5588.48</v>
      </c>
      <c r="P181" s="340" t="s">
        <v>2002</v>
      </c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</row>
    <row r="182" spans="2:46" s="3" customFormat="1" ht="41.25" customHeight="1">
      <c r="B182" s="355">
        <v>43132</v>
      </c>
      <c r="C182" s="340" t="s">
        <v>2099</v>
      </c>
      <c r="D182" s="341" t="s">
        <v>2112</v>
      </c>
      <c r="E182" s="339" t="s">
        <v>1997</v>
      </c>
      <c r="F182" s="341" t="s">
        <v>2113</v>
      </c>
      <c r="G182" s="566" t="s">
        <v>3584</v>
      </c>
      <c r="H182" s="341" t="s">
        <v>437</v>
      </c>
      <c r="I182" s="570">
        <f>23680+4262.4</f>
        <v>27942.4</v>
      </c>
      <c r="J182" s="570">
        <v>48.5063</v>
      </c>
      <c r="K182" s="571">
        <f t="shared" si="12"/>
        <v>576.0571307232257</v>
      </c>
      <c r="L182" s="341">
        <v>60</v>
      </c>
      <c r="M182" s="343">
        <f t="shared" si="13"/>
        <v>465.7066666666667</v>
      </c>
      <c r="N182" s="344">
        <f ca="1" t="shared" si="14"/>
        <v>48</v>
      </c>
      <c r="O182" s="572">
        <f t="shared" si="15"/>
        <v>5588.48</v>
      </c>
      <c r="P182" s="340" t="s">
        <v>2002</v>
      </c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</row>
    <row r="183" spans="1:46" s="3" customFormat="1" ht="39" customHeight="1">
      <c r="A183" s="291"/>
      <c r="B183" s="626">
        <v>43160</v>
      </c>
      <c r="C183" s="627" t="s">
        <v>2114</v>
      </c>
      <c r="D183" s="616" t="s">
        <v>2115</v>
      </c>
      <c r="E183" s="617" t="s">
        <v>3905</v>
      </c>
      <c r="F183" s="616" t="s">
        <v>2116</v>
      </c>
      <c r="G183" s="616" t="s">
        <v>3580</v>
      </c>
      <c r="H183" s="616" t="s">
        <v>437</v>
      </c>
      <c r="I183" s="631">
        <v>2916100</v>
      </c>
      <c r="J183" s="631">
        <v>48.966</v>
      </c>
      <c r="K183" s="632">
        <f t="shared" si="12"/>
        <v>59553.567781726095</v>
      </c>
      <c r="L183" s="616">
        <v>60</v>
      </c>
      <c r="M183" s="630">
        <f t="shared" si="13"/>
        <v>48601.666666666664</v>
      </c>
      <c r="N183" s="618">
        <f ca="1" t="shared" si="14"/>
        <v>47</v>
      </c>
      <c r="O183" s="633">
        <f t="shared" si="15"/>
        <v>631821.666666667</v>
      </c>
      <c r="P183" s="627" t="s">
        <v>2117</v>
      </c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</row>
    <row r="184" spans="2:46" s="3" customFormat="1" ht="69.75" customHeight="1">
      <c r="B184" s="355">
        <v>43199</v>
      </c>
      <c r="C184" s="340" t="s">
        <v>2118</v>
      </c>
      <c r="D184" s="341" t="s">
        <v>2119</v>
      </c>
      <c r="E184" s="339" t="s">
        <v>2120</v>
      </c>
      <c r="F184" s="341" t="s">
        <v>42</v>
      </c>
      <c r="G184" s="341" t="s">
        <v>81</v>
      </c>
      <c r="H184" s="341" t="s">
        <v>437</v>
      </c>
      <c r="I184" s="570">
        <v>209625.58</v>
      </c>
      <c r="J184" s="570">
        <v>49.2436</v>
      </c>
      <c r="K184" s="571">
        <f>+I184/J184</f>
        <v>4256.910136545663</v>
      </c>
      <c r="L184" s="341">
        <v>60</v>
      </c>
      <c r="M184" s="343">
        <f>IF(AND(I184&lt;&gt;0,L184&lt;&gt;0),I184/L184,0)</f>
        <v>3493.7596666666664</v>
      </c>
      <c r="N184" s="344">
        <f ca="1" t="shared" si="14"/>
        <v>46</v>
      </c>
      <c r="O184" s="572">
        <f t="shared" si="15"/>
        <v>48912.63533333334</v>
      </c>
      <c r="P184" s="340" t="s">
        <v>746</v>
      </c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</row>
    <row r="185" spans="2:46" s="3" customFormat="1" ht="72" customHeight="1">
      <c r="B185" s="355">
        <v>43208</v>
      </c>
      <c r="C185" s="340" t="s">
        <v>2121</v>
      </c>
      <c r="D185" s="341" t="s">
        <v>2122</v>
      </c>
      <c r="E185" s="339" t="s">
        <v>3767</v>
      </c>
      <c r="F185" s="341" t="s">
        <v>42</v>
      </c>
      <c r="G185" s="341" t="s">
        <v>821</v>
      </c>
      <c r="H185" s="341" t="s">
        <v>2324</v>
      </c>
      <c r="I185" s="570">
        <v>22531.552600000003</v>
      </c>
      <c r="J185" s="570">
        <v>49.3184</v>
      </c>
      <c r="K185" s="571">
        <f>+I185/J185</f>
        <v>456.8589532507138</v>
      </c>
      <c r="L185" s="341">
        <v>60</v>
      </c>
      <c r="M185" s="343">
        <f>IF(AND(I185&lt;&gt;0,L185&lt;&gt;0),I185/L185,0)</f>
        <v>375.5258766666667</v>
      </c>
      <c r="N185" s="344">
        <f ca="1" t="shared" si="14"/>
        <v>45</v>
      </c>
      <c r="O185" s="572">
        <f t="shared" si="15"/>
        <v>5632.8881500000025</v>
      </c>
      <c r="P185" s="340" t="s">
        <v>2123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</row>
    <row r="186" spans="2:46" s="3" customFormat="1" ht="63" customHeight="1">
      <c r="B186" s="355">
        <v>43208</v>
      </c>
      <c r="C186" s="340" t="s">
        <v>2121</v>
      </c>
      <c r="D186" s="341" t="s">
        <v>2124</v>
      </c>
      <c r="E186" s="339" t="s">
        <v>3767</v>
      </c>
      <c r="F186" s="341" t="s">
        <v>42</v>
      </c>
      <c r="G186" s="341" t="s">
        <v>821</v>
      </c>
      <c r="H186" s="341" t="s">
        <v>2324</v>
      </c>
      <c r="I186" s="570">
        <f aca="true" t="shared" si="17" ref="I186:I219">(19484.22-389.6844)+3437.017</f>
        <v>22531.552600000003</v>
      </c>
      <c r="J186" s="570">
        <v>49.3184</v>
      </c>
      <c r="K186" s="571">
        <f aca="true" t="shared" si="18" ref="K186:K218">+I186/J186</f>
        <v>456.8589532507138</v>
      </c>
      <c r="L186" s="341">
        <v>60</v>
      </c>
      <c r="M186" s="343">
        <f aca="true" t="shared" si="19" ref="M186:M218">IF(AND(I186&lt;&gt;0,L186&lt;&gt;0),I186/L186,0)</f>
        <v>375.5258766666667</v>
      </c>
      <c r="N186" s="344">
        <f ca="1" t="shared" si="14"/>
        <v>45</v>
      </c>
      <c r="O186" s="572">
        <f t="shared" si="15"/>
        <v>5632.8881500000025</v>
      </c>
      <c r="P186" s="340" t="s">
        <v>2123</v>
      </c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</row>
    <row r="187" spans="2:46" s="3" customFormat="1" ht="59.25" customHeight="1">
      <c r="B187" s="355">
        <v>43208</v>
      </c>
      <c r="C187" s="340" t="s">
        <v>2121</v>
      </c>
      <c r="D187" s="341" t="s">
        <v>2125</v>
      </c>
      <c r="E187" s="339" t="s">
        <v>3767</v>
      </c>
      <c r="F187" s="341" t="s">
        <v>42</v>
      </c>
      <c r="G187" s="341" t="s">
        <v>821</v>
      </c>
      <c r="H187" s="341" t="s">
        <v>2324</v>
      </c>
      <c r="I187" s="570">
        <f t="shared" si="17"/>
        <v>22531.552600000003</v>
      </c>
      <c r="J187" s="570">
        <v>49.3184</v>
      </c>
      <c r="K187" s="571">
        <f t="shared" si="18"/>
        <v>456.8589532507138</v>
      </c>
      <c r="L187" s="341">
        <v>60</v>
      </c>
      <c r="M187" s="343">
        <f t="shared" si="19"/>
        <v>375.5258766666667</v>
      </c>
      <c r="N187" s="344">
        <f ca="1" t="shared" si="14"/>
        <v>45</v>
      </c>
      <c r="O187" s="572">
        <f t="shared" si="15"/>
        <v>5632.8881500000025</v>
      </c>
      <c r="P187" s="340" t="s">
        <v>2123</v>
      </c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</row>
    <row r="188" spans="2:46" s="3" customFormat="1" ht="66.75" customHeight="1">
      <c r="B188" s="355">
        <v>43208</v>
      </c>
      <c r="C188" s="340" t="s">
        <v>2121</v>
      </c>
      <c r="D188" s="341" t="s">
        <v>2126</v>
      </c>
      <c r="E188" s="339" t="s">
        <v>3767</v>
      </c>
      <c r="F188" s="341" t="s">
        <v>42</v>
      </c>
      <c r="G188" s="341" t="s">
        <v>821</v>
      </c>
      <c r="H188" s="341" t="s">
        <v>2324</v>
      </c>
      <c r="I188" s="570">
        <f t="shared" si="17"/>
        <v>22531.552600000003</v>
      </c>
      <c r="J188" s="570">
        <v>49.3184</v>
      </c>
      <c r="K188" s="571">
        <f t="shared" si="18"/>
        <v>456.8589532507138</v>
      </c>
      <c r="L188" s="341">
        <v>60</v>
      </c>
      <c r="M188" s="343">
        <f t="shared" si="19"/>
        <v>375.5258766666667</v>
      </c>
      <c r="N188" s="344">
        <f ca="1" t="shared" si="14"/>
        <v>45</v>
      </c>
      <c r="O188" s="572">
        <f t="shared" si="15"/>
        <v>5632.8881500000025</v>
      </c>
      <c r="P188" s="340" t="s">
        <v>2123</v>
      </c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</row>
    <row r="189" spans="2:46" s="3" customFormat="1" ht="63" customHeight="1">
      <c r="B189" s="355">
        <v>43208</v>
      </c>
      <c r="C189" s="340" t="s">
        <v>2121</v>
      </c>
      <c r="D189" s="341" t="s">
        <v>2127</v>
      </c>
      <c r="E189" s="339" t="s">
        <v>3767</v>
      </c>
      <c r="F189" s="341" t="s">
        <v>42</v>
      </c>
      <c r="G189" s="341" t="s">
        <v>821</v>
      </c>
      <c r="H189" s="341" t="s">
        <v>2324</v>
      </c>
      <c r="I189" s="570">
        <f t="shared" si="17"/>
        <v>22531.552600000003</v>
      </c>
      <c r="J189" s="570">
        <v>49.3184</v>
      </c>
      <c r="K189" s="571">
        <f t="shared" si="18"/>
        <v>456.8589532507138</v>
      </c>
      <c r="L189" s="341">
        <v>60</v>
      </c>
      <c r="M189" s="343">
        <f t="shared" si="19"/>
        <v>375.5258766666667</v>
      </c>
      <c r="N189" s="344">
        <f ca="1" t="shared" si="14"/>
        <v>45</v>
      </c>
      <c r="O189" s="572">
        <f t="shared" si="15"/>
        <v>5632.8881500000025</v>
      </c>
      <c r="P189" s="340" t="s">
        <v>2123</v>
      </c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</row>
    <row r="190" spans="2:46" s="3" customFormat="1" ht="70.5" customHeight="1">
      <c r="B190" s="355">
        <v>43208</v>
      </c>
      <c r="C190" s="340" t="s">
        <v>2121</v>
      </c>
      <c r="D190" s="341" t="s">
        <v>2128</v>
      </c>
      <c r="E190" s="339" t="s">
        <v>3767</v>
      </c>
      <c r="F190" s="341" t="s">
        <v>42</v>
      </c>
      <c r="G190" s="341" t="s">
        <v>821</v>
      </c>
      <c r="H190" s="341" t="s">
        <v>2324</v>
      </c>
      <c r="I190" s="570">
        <f t="shared" si="17"/>
        <v>22531.552600000003</v>
      </c>
      <c r="J190" s="570">
        <v>49.3184</v>
      </c>
      <c r="K190" s="571">
        <f t="shared" si="18"/>
        <v>456.8589532507138</v>
      </c>
      <c r="L190" s="341">
        <v>60</v>
      </c>
      <c r="M190" s="343">
        <f t="shared" si="19"/>
        <v>375.5258766666667</v>
      </c>
      <c r="N190" s="344">
        <f ca="1" t="shared" si="14"/>
        <v>45</v>
      </c>
      <c r="O190" s="572">
        <f t="shared" si="15"/>
        <v>5632.8881500000025</v>
      </c>
      <c r="P190" s="340" t="s">
        <v>2123</v>
      </c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</row>
    <row r="191" spans="2:46" s="3" customFormat="1" ht="57.75" customHeight="1">
      <c r="B191" s="355">
        <v>43208</v>
      </c>
      <c r="C191" s="340" t="s">
        <v>2121</v>
      </c>
      <c r="D191" s="341" t="s">
        <v>2129</v>
      </c>
      <c r="E191" s="339" t="s">
        <v>3767</v>
      </c>
      <c r="F191" s="341" t="s">
        <v>42</v>
      </c>
      <c r="G191" s="341" t="s">
        <v>821</v>
      </c>
      <c r="H191" s="341" t="s">
        <v>2324</v>
      </c>
      <c r="I191" s="570">
        <f t="shared" si="17"/>
        <v>22531.552600000003</v>
      </c>
      <c r="J191" s="570">
        <v>49.3184</v>
      </c>
      <c r="K191" s="571">
        <f t="shared" si="18"/>
        <v>456.8589532507138</v>
      </c>
      <c r="L191" s="341">
        <v>60</v>
      </c>
      <c r="M191" s="343">
        <f t="shared" si="19"/>
        <v>375.5258766666667</v>
      </c>
      <c r="N191" s="344">
        <f ca="1" t="shared" si="14"/>
        <v>45</v>
      </c>
      <c r="O191" s="572">
        <f t="shared" si="15"/>
        <v>5632.8881500000025</v>
      </c>
      <c r="P191" s="340" t="s">
        <v>2123</v>
      </c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</row>
    <row r="192" spans="2:46" s="3" customFormat="1" ht="65.25" customHeight="1">
      <c r="B192" s="355">
        <v>43208</v>
      </c>
      <c r="C192" s="340" t="s">
        <v>2121</v>
      </c>
      <c r="D192" s="341" t="s">
        <v>2130</v>
      </c>
      <c r="E192" s="339" t="s">
        <v>3767</v>
      </c>
      <c r="F192" s="341" t="s">
        <v>42</v>
      </c>
      <c r="G192" s="341" t="s">
        <v>821</v>
      </c>
      <c r="H192" s="341" t="s">
        <v>2324</v>
      </c>
      <c r="I192" s="570">
        <f t="shared" si="17"/>
        <v>22531.552600000003</v>
      </c>
      <c r="J192" s="570">
        <v>49.3184</v>
      </c>
      <c r="K192" s="571">
        <f t="shared" si="18"/>
        <v>456.8589532507138</v>
      </c>
      <c r="L192" s="341">
        <v>60</v>
      </c>
      <c r="M192" s="343">
        <f t="shared" si="19"/>
        <v>375.5258766666667</v>
      </c>
      <c r="N192" s="344">
        <f ca="1" t="shared" si="14"/>
        <v>45</v>
      </c>
      <c r="O192" s="572">
        <f t="shared" si="15"/>
        <v>5632.8881500000025</v>
      </c>
      <c r="P192" s="340" t="s">
        <v>2123</v>
      </c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</row>
    <row r="193" spans="2:46" s="3" customFormat="1" ht="66.75" customHeight="1">
      <c r="B193" s="355">
        <v>43208</v>
      </c>
      <c r="C193" s="340" t="s">
        <v>2121</v>
      </c>
      <c r="D193" s="341" t="s">
        <v>2131</v>
      </c>
      <c r="E193" s="339" t="s">
        <v>3767</v>
      </c>
      <c r="F193" s="341" t="s">
        <v>42</v>
      </c>
      <c r="G193" s="341" t="s">
        <v>821</v>
      </c>
      <c r="H193" s="341" t="s">
        <v>2324</v>
      </c>
      <c r="I193" s="570">
        <f t="shared" si="17"/>
        <v>22531.552600000003</v>
      </c>
      <c r="J193" s="570">
        <v>49.3184</v>
      </c>
      <c r="K193" s="571">
        <f t="shared" si="18"/>
        <v>456.8589532507138</v>
      </c>
      <c r="L193" s="341">
        <v>60</v>
      </c>
      <c r="M193" s="343">
        <f t="shared" si="19"/>
        <v>375.5258766666667</v>
      </c>
      <c r="N193" s="344">
        <f ca="1" t="shared" si="14"/>
        <v>45</v>
      </c>
      <c r="O193" s="572">
        <f t="shared" si="15"/>
        <v>5632.8881500000025</v>
      </c>
      <c r="P193" s="340" t="s">
        <v>2123</v>
      </c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</row>
    <row r="194" spans="2:46" s="3" customFormat="1" ht="67.5" customHeight="1">
      <c r="B194" s="355">
        <v>43208</v>
      </c>
      <c r="C194" s="340" t="s">
        <v>2121</v>
      </c>
      <c r="D194" s="341" t="s">
        <v>2132</v>
      </c>
      <c r="E194" s="339" t="s">
        <v>3767</v>
      </c>
      <c r="F194" s="341" t="s">
        <v>42</v>
      </c>
      <c r="G194" s="341" t="s">
        <v>821</v>
      </c>
      <c r="H194" s="341" t="s">
        <v>2324</v>
      </c>
      <c r="I194" s="570">
        <f t="shared" si="17"/>
        <v>22531.552600000003</v>
      </c>
      <c r="J194" s="570">
        <v>49.3184</v>
      </c>
      <c r="K194" s="571">
        <f t="shared" si="18"/>
        <v>456.8589532507138</v>
      </c>
      <c r="L194" s="341">
        <v>60</v>
      </c>
      <c r="M194" s="343">
        <f t="shared" si="19"/>
        <v>375.5258766666667</v>
      </c>
      <c r="N194" s="344">
        <f ca="1" t="shared" si="14"/>
        <v>45</v>
      </c>
      <c r="O194" s="572">
        <f t="shared" si="15"/>
        <v>5632.8881500000025</v>
      </c>
      <c r="P194" s="340" t="s">
        <v>2123</v>
      </c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</row>
    <row r="195" spans="2:46" s="3" customFormat="1" ht="66.75" customHeight="1">
      <c r="B195" s="355">
        <v>43208</v>
      </c>
      <c r="C195" s="340" t="s">
        <v>2121</v>
      </c>
      <c r="D195" s="341" t="s">
        <v>2133</v>
      </c>
      <c r="E195" s="339" t="s">
        <v>3767</v>
      </c>
      <c r="F195" s="341" t="s">
        <v>42</v>
      </c>
      <c r="G195" s="341" t="s">
        <v>821</v>
      </c>
      <c r="H195" s="341" t="s">
        <v>2324</v>
      </c>
      <c r="I195" s="570">
        <f t="shared" si="17"/>
        <v>22531.552600000003</v>
      </c>
      <c r="J195" s="570">
        <v>49.3184</v>
      </c>
      <c r="K195" s="571">
        <f t="shared" si="18"/>
        <v>456.8589532507138</v>
      </c>
      <c r="L195" s="341">
        <v>60</v>
      </c>
      <c r="M195" s="343">
        <f t="shared" si="19"/>
        <v>375.5258766666667</v>
      </c>
      <c r="N195" s="344">
        <f ca="1" t="shared" si="14"/>
        <v>45</v>
      </c>
      <c r="O195" s="572">
        <f t="shared" si="15"/>
        <v>5632.8881500000025</v>
      </c>
      <c r="P195" s="340" t="s">
        <v>2123</v>
      </c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</row>
    <row r="196" spans="2:46" s="3" customFormat="1" ht="66.75" customHeight="1">
      <c r="B196" s="355">
        <v>43208</v>
      </c>
      <c r="C196" s="340" t="s">
        <v>2121</v>
      </c>
      <c r="D196" s="341" t="s">
        <v>2134</v>
      </c>
      <c r="E196" s="339" t="s">
        <v>3767</v>
      </c>
      <c r="F196" s="341" t="s">
        <v>42</v>
      </c>
      <c r="G196" s="341" t="s">
        <v>821</v>
      </c>
      <c r="H196" s="341" t="s">
        <v>2324</v>
      </c>
      <c r="I196" s="570">
        <f t="shared" si="17"/>
        <v>22531.552600000003</v>
      </c>
      <c r="J196" s="570">
        <v>49.3184</v>
      </c>
      <c r="K196" s="571">
        <f t="shared" si="18"/>
        <v>456.8589532507138</v>
      </c>
      <c r="L196" s="341">
        <v>60</v>
      </c>
      <c r="M196" s="343">
        <f t="shared" si="19"/>
        <v>375.5258766666667</v>
      </c>
      <c r="N196" s="344">
        <f ca="1" t="shared" si="14"/>
        <v>45</v>
      </c>
      <c r="O196" s="572">
        <f t="shared" si="15"/>
        <v>5632.8881500000025</v>
      </c>
      <c r="P196" s="340" t="s">
        <v>2123</v>
      </c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</row>
    <row r="197" spans="2:46" s="3" customFormat="1" ht="62.25" customHeight="1">
      <c r="B197" s="355">
        <v>43208</v>
      </c>
      <c r="C197" s="340" t="s">
        <v>2121</v>
      </c>
      <c r="D197" s="341" t="s">
        <v>2135</v>
      </c>
      <c r="E197" s="339" t="s">
        <v>3767</v>
      </c>
      <c r="F197" s="341" t="s">
        <v>42</v>
      </c>
      <c r="G197" s="341" t="s">
        <v>821</v>
      </c>
      <c r="H197" s="341" t="s">
        <v>2324</v>
      </c>
      <c r="I197" s="570">
        <f t="shared" si="17"/>
        <v>22531.552600000003</v>
      </c>
      <c r="J197" s="570">
        <v>49.3184</v>
      </c>
      <c r="K197" s="571">
        <f t="shared" si="18"/>
        <v>456.8589532507138</v>
      </c>
      <c r="L197" s="341">
        <v>60</v>
      </c>
      <c r="M197" s="343">
        <f t="shared" si="19"/>
        <v>375.5258766666667</v>
      </c>
      <c r="N197" s="344">
        <f ca="1" t="shared" si="14"/>
        <v>45</v>
      </c>
      <c r="O197" s="572">
        <f t="shared" si="15"/>
        <v>5632.8881500000025</v>
      </c>
      <c r="P197" s="340" t="s">
        <v>2123</v>
      </c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</row>
    <row r="198" spans="2:46" s="3" customFormat="1" ht="66.75" customHeight="1">
      <c r="B198" s="355">
        <v>43208</v>
      </c>
      <c r="C198" s="340" t="s">
        <v>2121</v>
      </c>
      <c r="D198" s="341" t="s">
        <v>2136</v>
      </c>
      <c r="E198" s="339" t="s">
        <v>3767</v>
      </c>
      <c r="F198" s="341" t="s">
        <v>42</v>
      </c>
      <c r="G198" s="341" t="s">
        <v>821</v>
      </c>
      <c r="H198" s="341" t="s">
        <v>2324</v>
      </c>
      <c r="I198" s="570">
        <f t="shared" si="17"/>
        <v>22531.552600000003</v>
      </c>
      <c r="J198" s="570">
        <v>49.3184</v>
      </c>
      <c r="K198" s="571">
        <f t="shared" si="18"/>
        <v>456.8589532507138</v>
      </c>
      <c r="L198" s="341">
        <v>60</v>
      </c>
      <c r="M198" s="343">
        <f t="shared" si="19"/>
        <v>375.5258766666667</v>
      </c>
      <c r="N198" s="344">
        <f ca="1" t="shared" si="14"/>
        <v>45</v>
      </c>
      <c r="O198" s="572">
        <f t="shared" si="15"/>
        <v>5632.8881500000025</v>
      </c>
      <c r="P198" s="340" t="s">
        <v>2123</v>
      </c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</row>
    <row r="199" spans="2:46" s="3" customFormat="1" ht="73.5" customHeight="1">
      <c r="B199" s="355">
        <v>43208</v>
      </c>
      <c r="C199" s="340" t="s">
        <v>2121</v>
      </c>
      <c r="D199" s="341" t="s">
        <v>2137</v>
      </c>
      <c r="E199" s="339" t="s">
        <v>3767</v>
      </c>
      <c r="F199" s="341" t="s">
        <v>42</v>
      </c>
      <c r="G199" s="341" t="s">
        <v>821</v>
      </c>
      <c r="H199" s="341" t="s">
        <v>2324</v>
      </c>
      <c r="I199" s="570">
        <f t="shared" si="17"/>
        <v>22531.552600000003</v>
      </c>
      <c r="J199" s="570">
        <v>49.3184</v>
      </c>
      <c r="K199" s="571">
        <f t="shared" si="18"/>
        <v>456.8589532507138</v>
      </c>
      <c r="L199" s="341">
        <v>60</v>
      </c>
      <c r="M199" s="343">
        <f t="shared" si="19"/>
        <v>375.5258766666667</v>
      </c>
      <c r="N199" s="344">
        <f ca="1" t="shared" si="14"/>
        <v>45</v>
      </c>
      <c r="O199" s="572">
        <f t="shared" si="15"/>
        <v>5632.8881500000025</v>
      </c>
      <c r="P199" s="340" t="s">
        <v>2123</v>
      </c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</row>
    <row r="200" spans="2:46" s="3" customFormat="1" ht="77.25" customHeight="1">
      <c r="B200" s="355">
        <v>43208</v>
      </c>
      <c r="C200" s="340" t="s">
        <v>2121</v>
      </c>
      <c r="D200" s="341" t="s">
        <v>2138</v>
      </c>
      <c r="E200" s="339" t="s">
        <v>3767</v>
      </c>
      <c r="F200" s="341" t="s">
        <v>42</v>
      </c>
      <c r="G200" s="341" t="s">
        <v>821</v>
      </c>
      <c r="H200" s="341" t="s">
        <v>2324</v>
      </c>
      <c r="I200" s="570">
        <f t="shared" si="17"/>
        <v>22531.552600000003</v>
      </c>
      <c r="J200" s="570">
        <v>49.3184</v>
      </c>
      <c r="K200" s="571">
        <f t="shared" si="18"/>
        <v>456.8589532507138</v>
      </c>
      <c r="L200" s="341">
        <v>60</v>
      </c>
      <c r="M200" s="343">
        <f t="shared" si="19"/>
        <v>375.5258766666667</v>
      </c>
      <c r="N200" s="344">
        <f ca="1" t="shared" si="14"/>
        <v>45</v>
      </c>
      <c r="O200" s="572">
        <f t="shared" si="15"/>
        <v>5632.8881500000025</v>
      </c>
      <c r="P200" s="340" t="s">
        <v>2123</v>
      </c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</row>
    <row r="201" spans="2:46" s="3" customFormat="1" ht="70.5" customHeight="1">
      <c r="B201" s="355">
        <v>43208</v>
      </c>
      <c r="C201" s="340" t="s">
        <v>2121</v>
      </c>
      <c r="D201" s="341" t="s">
        <v>2139</v>
      </c>
      <c r="E201" s="339" t="s">
        <v>3767</v>
      </c>
      <c r="F201" s="341" t="s">
        <v>42</v>
      </c>
      <c r="G201" s="341" t="s">
        <v>821</v>
      </c>
      <c r="H201" s="341" t="s">
        <v>2324</v>
      </c>
      <c r="I201" s="570">
        <f t="shared" si="17"/>
        <v>22531.552600000003</v>
      </c>
      <c r="J201" s="570">
        <v>49.3184</v>
      </c>
      <c r="K201" s="571">
        <f t="shared" si="18"/>
        <v>456.8589532507138</v>
      </c>
      <c r="L201" s="341">
        <v>60</v>
      </c>
      <c r="M201" s="343">
        <f t="shared" si="19"/>
        <v>375.5258766666667</v>
      </c>
      <c r="N201" s="344">
        <f ca="1" t="shared" si="14"/>
        <v>45</v>
      </c>
      <c r="O201" s="572">
        <f t="shared" si="15"/>
        <v>5632.8881500000025</v>
      </c>
      <c r="P201" s="340" t="s">
        <v>2123</v>
      </c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</row>
    <row r="202" spans="2:46" s="3" customFormat="1" ht="63.75" customHeight="1">
      <c r="B202" s="355">
        <v>43208</v>
      </c>
      <c r="C202" s="340" t="s">
        <v>2121</v>
      </c>
      <c r="D202" s="341" t="s">
        <v>2140</v>
      </c>
      <c r="E202" s="339" t="s">
        <v>3767</v>
      </c>
      <c r="F202" s="341" t="s">
        <v>42</v>
      </c>
      <c r="G202" s="341" t="s">
        <v>821</v>
      </c>
      <c r="H202" s="341" t="s">
        <v>2324</v>
      </c>
      <c r="I202" s="570">
        <f t="shared" si="17"/>
        <v>22531.552600000003</v>
      </c>
      <c r="J202" s="570">
        <v>49.3184</v>
      </c>
      <c r="K202" s="571">
        <f t="shared" si="18"/>
        <v>456.8589532507138</v>
      </c>
      <c r="L202" s="341">
        <v>60</v>
      </c>
      <c r="M202" s="343">
        <f t="shared" si="19"/>
        <v>375.5258766666667</v>
      </c>
      <c r="N202" s="344">
        <f ca="1" t="shared" si="14"/>
        <v>45</v>
      </c>
      <c r="O202" s="572">
        <f t="shared" si="15"/>
        <v>5632.8881500000025</v>
      </c>
      <c r="P202" s="340" t="s">
        <v>2123</v>
      </c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</row>
    <row r="203" spans="2:46" s="3" customFormat="1" ht="72.75" customHeight="1">
      <c r="B203" s="355">
        <v>43208</v>
      </c>
      <c r="C203" s="340" t="s">
        <v>2121</v>
      </c>
      <c r="D203" s="341" t="s">
        <v>2141</v>
      </c>
      <c r="E203" s="339" t="s">
        <v>3767</v>
      </c>
      <c r="F203" s="341" t="s">
        <v>42</v>
      </c>
      <c r="G203" s="341" t="s">
        <v>821</v>
      </c>
      <c r="H203" s="341" t="s">
        <v>2324</v>
      </c>
      <c r="I203" s="570">
        <f t="shared" si="17"/>
        <v>22531.552600000003</v>
      </c>
      <c r="J203" s="570">
        <v>49.3184</v>
      </c>
      <c r="K203" s="571">
        <f t="shared" si="18"/>
        <v>456.8589532507138</v>
      </c>
      <c r="L203" s="341">
        <v>60</v>
      </c>
      <c r="M203" s="343">
        <f t="shared" si="19"/>
        <v>375.5258766666667</v>
      </c>
      <c r="N203" s="344">
        <f ca="1" t="shared" si="14"/>
        <v>45</v>
      </c>
      <c r="O203" s="572">
        <f t="shared" si="15"/>
        <v>5632.8881500000025</v>
      </c>
      <c r="P203" s="340" t="s">
        <v>2123</v>
      </c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</row>
    <row r="204" spans="2:46" s="3" customFormat="1" ht="64.5" customHeight="1">
      <c r="B204" s="355">
        <v>43208</v>
      </c>
      <c r="C204" s="340" t="s">
        <v>2121</v>
      </c>
      <c r="D204" s="341" t="s">
        <v>2142</v>
      </c>
      <c r="E204" s="339" t="s">
        <v>3767</v>
      </c>
      <c r="F204" s="341" t="s">
        <v>42</v>
      </c>
      <c r="G204" s="341" t="s">
        <v>821</v>
      </c>
      <c r="H204" s="341" t="s">
        <v>2324</v>
      </c>
      <c r="I204" s="570">
        <f t="shared" si="17"/>
        <v>22531.552600000003</v>
      </c>
      <c r="J204" s="570">
        <v>49.3184</v>
      </c>
      <c r="K204" s="571">
        <f t="shared" si="18"/>
        <v>456.8589532507138</v>
      </c>
      <c r="L204" s="341">
        <v>60</v>
      </c>
      <c r="M204" s="343">
        <f t="shared" si="19"/>
        <v>375.5258766666667</v>
      </c>
      <c r="N204" s="344">
        <f ca="1" t="shared" si="14"/>
        <v>45</v>
      </c>
      <c r="O204" s="572">
        <f t="shared" si="15"/>
        <v>5632.8881500000025</v>
      </c>
      <c r="P204" s="340" t="s">
        <v>2123</v>
      </c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</row>
    <row r="205" spans="2:46" s="3" customFormat="1" ht="67.5" customHeight="1">
      <c r="B205" s="355">
        <v>43208</v>
      </c>
      <c r="C205" s="340" t="s">
        <v>2121</v>
      </c>
      <c r="D205" s="341" t="s">
        <v>2143</v>
      </c>
      <c r="E205" s="339" t="s">
        <v>3767</v>
      </c>
      <c r="F205" s="341" t="s">
        <v>42</v>
      </c>
      <c r="G205" s="341" t="s">
        <v>821</v>
      </c>
      <c r="H205" s="341" t="s">
        <v>2324</v>
      </c>
      <c r="I205" s="570">
        <f t="shared" si="17"/>
        <v>22531.552600000003</v>
      </c>
      <c r="J205" s="570">
        <v>49.3184</v>
      </c>
      <c r="K205" s="571">
        <f t="shared" si="18"/>
        <v>456.8589532507138</v>
      </c>
      <c r="L205" s="341">
        <v>60</v>
      </c>
      <c r="M205" s="343">
        <f t="shared" si="19"/>
        <v>375.5258766666667</v>
      </c>
      <c r="N205" s="344">
        <f ca="1" t="shared" si="14"/>
        <v>45</v>
      </c>
      <c r="O205" s="572">
        <f t="shared" si="15"/>
        <v>5632.8881500000025</v>
      </c>
      <c r="P205" s="340" t="s">
        <v>2123</v>
      </c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</row>
    <row r="206" spans="2:46" s="3" customFormat="1" ht="69" customHeight="1">
      <c r="B206" s="355">
        <v>43208</v>
      </c>
      <c r="C206" s="340" t="s">
        <v>2121</v>
      </c>
      <c r="D206" s="341" t="s">
        <v>2144</v>
      </c>
      <c r="E206" s="339" t="s">
        <v>3767</v>
      </c>
      <c r="F206" s="341" t="s">
        <v>42</v>
      </c>
      <c r="G206" s="341" t="s">
        <v>821</v>
      </c>
      <c r="H206" s="341" t="s">
        <v>2324</v>
      </c>
      <c r="I206" s="570">
        <f t="shared" si="17"/>
        <v>22531.552600000003</v>
      </c>
      <c r="J206" s="570">
        <v>49.3184</v>
      </c>
      <c r="K206" s="571">
        <f t="shared" si="18"/>
        <v>456.8589532507138</v>
      </c>
      <c r="L206" s="341">
        <v>60</v>
      </c>
      <c r="M206" s="343">
        <f t="shared" si="19"/>
        <v>375.5258766666667</v>
      </c>
      <c r="N206" s="344">
        <f ca="1" t="shared" si="14"/>
        <v>45</v>
      </c>
      <c r="O206" s="572">
        <f t="shared" si="15"/>
        <v>5632.8881500000025</v>
      </c>
      <c r="P206" s="340" t="s">
        <v>2123</v>
      </c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</row>
    <row r="207" spans="2:46" s="3" customFormat="1" ht="67.5" customHeight="1">
      <c r="B207" s="355">
        <v>43208</v>
      </c>
      <c r="C207" s="340" t="s">
        <v>2121</v>
      </c>
      <c r="D207" s="341" t="s">
        <v>2145</v>
      </c>
      <c r="E207" s="339" t="s">
        <v>3767</v>
      </c>
      <c r="F207" s="341" t="s">
        <v>42</v>
      </c>
      <c r="G207" s="341" t="s">
        <v>821</v>
      </c>
      <c r="H207" s="341" t="s">
        <v>2324</v>
      </c>
      <c r="I207" s="570">
        <f t="shared" si="17"/>
        <v>22531.552600000003</v>
      </c>
      <c r="J207" s="570">
        <v>49.3184</v>
      </c>
      <c r="K207" s="571">
        <f t="shared" si="18"/>
        <v>456.8589532507138</v>
      </c>
      <c r="L207" s="341">
        <v>60</v>
      </c>
      <c r="M207" s="343">
        <f t="shared" si="19"/>
        <v>375.5258766666667</v>
      </c>
      <c r="N207" s="344">
        <f ca="1" t="shared" si="14"/>
        <v>45</v>
      </c>
      <c r="O207" s="572">
        <f t="shared" si="15"/>
        <v>5632.8881500000025</v>
      </c>
      <c r="P207" s="340" t="s">
        <v>2123</v>
      </c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</row>
    <row r="208" spans="2:46" s="3" customFormat="1" ht="75" customHeight="1">
      <c r="B208" s="355">
        <v>43208</v>
      </c>
      <c r="C208" s="340" t="s">
        <v>2121</v>
      </c>
      <c r="D208" s="341" t="s">
        <v>2146</v>
      </c>
      <c r="E208" s="339" t="s">
        <v>3767</v>
      </c>
      <c r="F208" s="341" t="s">
        <v>42</v>
      </c>
      <c r="G208" s="341" t="s">
        <v>821</v>
      </c>
      <c r="H208" s="341" t="s">
        <v>2324</v>
      </c>
      <c r="I208" s="570">
        <f t="shared" si="17"/>
        <v>22531.552600000003</v>
      </c>
      <c r="J208" s="570">
        <v>49.3184</v>
      </c>
      <c r="K208" s="571">
        <f t="shared" si="18"/>
        <v>456.8589532507138</v>
      </c>
      <c r="L208" s="341">
        <v>60</v>
      </c>
      <c r="M208" s="343">
        <f t="shared" si="19"/>
        <v>375.5258766666667</v>
      </c>
      <c r="N208" s="344">
        <f ca="1" t="shared" si="14"/>
        <v>45</v>
      </c>
      <c r="O208" s="572">
        <f t="shared" si="15"/>
        <v>5632.8881500000025</v>
      </c>
      <c r="P208" s="340" t="s">
        <v>2123</v>
      </c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</row>
    <row r="209" spans="2:46" s="3" customFormat="1" ht="69.75" customHeight="1">
      <c r="B209" s="355">
        <v>43208</v>
      </c>
      <c r="C209" s="340" t="s">
        <v>2121</v>
      </c>
      <c r="D209" s="341" t="s">
        <v>2147</v>
      </c>
      <c r="E209" s="339" t="s">
        <v>3767</v>
      </c>
      <c r="F209" s="341" t="s">
        <v>42</v>
      </c>
      <c r="G209" s="341" t="s">
        <v>821</v>
      </c>
      <c r="H209" s="341" t="s">
        <v>2324</v>
      </c>
      <c r="I209" s="570">
        <f t="shared" si="17"/>
        <v>22531.552600000003</v>
      </c>
      <c r="J209" s="570">
        <v>49.3184</v>
      </c>
      <c r="K209" s="571">
        <f t="shared" si="18"/>
        <v>456.8589532507138</v>
      </c>
      <c r="L209" s="341">
        <v>60</v>
      </c>
      <c r="M209" s="343">
        <f t="shared" si="19"/>
        <v>375.5258766666667</v>
      </c>
      <c r="N209" s="344">
        <f ca="1" t="shared" si="14"/>
        <v>45</v>
      </c>
      <c r="O209" s="572">
        <f t="shared" si="15"/>
        <v>5632.8881500000025</v>
      </c>
      <c r="P209" s="340" t="s">
        <v>2123</v>
      </c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</row>
    <row r="210" spans="2:46" s="3" customFormat="1" ht="66.75" customHeight="1">
      <c r="B210" s="355">
        <v>43208</v>
      </c>
      <c r="C210" s="340" t="s">
        <v>2121</v>
      </c>
      <c r="D210" s="341" t="s">
        <v>2148</v>
      </c>
      <c r="E210" s="339" t="s">
        <v>3767</v>
      </c>
      <c r="F210" s="341" t="s">
        <v>42</v>
      </c>
      <c r="G210" s="341" t="s">
        <v>821</v>
      </c>
      <c r="H210" s="341" t="s">
        <v>2324</v>
      </c>
      <c r="I210" s="570">
        <f t="shared" si="17"/>
        <v>22531.552600000003</v>
      </c>
      <c r="J210" s="570">
        <v>49.3184</v>
      </c>
      <c r="K210" s="571">
        <f t="shared" si="18"/>
        <v>456.8589532507138</v>
      </c>
      <c r="L210" s="341">
        <v>60</v>
      </c>
      <c r="M210" s="343">
        <f t="shared" si="19"/>
        <v>375.5258766666667</v>
      </c>
      <c r="N210" s="344">
        <f ca="1" t="shared" si="14"/>
        <v>45</v>
      </c>
      <c r="O210" s="572">
        <f t="shared" si="15"/>
        <v>5632.8881500000025</v>
      </c>
      <c r="P210" s="340" t="s">
        <v>2123</v>
      </c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</row>
    <row r="211" spans="2:46" s="3" customFormat="1" ht="75" customHeight="1">
      <c r="B211" s="355">
        <v>43208</v>
      </c>
      <c r="C211" s="340" t="s">
        <v>2121</v>
      </c>
      <c r="D211" s="341" t="s">
        <v>2149</v>
      </c>
      <c r="E211" s="339" t="s">
        <v>3767</v>
      </c>
      <c r="F211" s="341" t="s">
        <v>42</v>
      </c>
      <c r="G211" s="341" t="s">
        <v>821</v>
      </c>
      <c r="H211" s="341" t="s">
        <v>2324</v>
      </c>
      <c r="I211" s="570">
        <f t="shared" si="17"/>
        <v>22531.552600000003</v>
      </c>
      <c r="J211" s="570">
        <v>49.3184</v>
      </c>
      <c r="K211" s="571">
        <f t="shared" si="18"/>
        <v>456.8589532507138</v>
      </c>
      <c r="L211" s="341">
        <v>60</v>
      </c>
      <c r="M211" s="343">
        <f t="shared" si="19"/>
        <v>375.5258766666667</v>
      </c>
      <c r="N211" s="344">
        <f ca="1" t="shared" si="14"/>
        <v>45</v>
      </c>
      <c r="O211" s="572">
        <f t="shared" si="15"/>
        <v>5632.8881500000025</v>
      </c>
      <c r="P211" s="340" t="s">
        <v>2123</v>
      </c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</row>
    <row r="212" spans="2:46" s="3" customFormat="1" ht="67.5" customHeight="1">
      <c r="B212" s="355">
        <v>43208</v>
      </c>
      <c r="C212" s="340" t="s">
        <v>2121</v>
      </c>
      <c r="D212" s="341" t="s">
        <v>2150</v>
      </c>
      <c r="E212" s="339" t="s">
        <v>3767</v>
      </c>
      <c r="F212" s="341" t="s">
        <v>42</v>
      </c>
      <c r="G212" s="341" t="s">
        <v>821</v>
      </c>
      <c r="H212" s="341" t="s">
        <v>2324</v>
      </c>
      <c r="I212" s="570">
        <f t="shared" si="17"/>
        <v>22531.552600000003</v>
      </c>
      <c r="J212" s="570">
        <v>49.3184</v>
      </c>
      <c r="K212" s="571">
        <f t="shared" si="18"/>
        <v>456.8589532507138</v>
      </c>
      <c r="L212" s="341">
        <v>60</v>
      </c>
      <c r="M212" s="343">
        <f t="shared" si="19"/>
        <v>375.5258766666667</v>
      </c>
      <c r="N212" s="344">
        <f ca="1" t="shared" si="14"/>
        <v>45</v>
      </c>
      <c r="O212" s="572">
        <f t="shared" si="15"/>
        <v>5632.8881500000025</v>
      </c>
      <c r="P212" s="340" t="s">
        <v>2123</v>
      </c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</row>
    <row r="213" spans="2:46" s="3" customFormat="1" ht="67.5" customHeight="1">
      <c r="B213" s="355">
        <v>43208</v>
      </c>
      <c r="C213" s="340" t="s">
        <v>2121</v>
      </c>
      <c r="D213" s="341" t="s">
        <v>2151</v>
      </c>
      <c r="E213" s="339" t="s">
        <v>3767</v>
      </c>
      <c r="F213" s="341" t="s">
        <v>42</v>
      </c>
      <c r="G213" s="341" t="s">
        <v>821</v>
      </c>
      <c r="H213" s="341" t="s">
        <v>2324</v>
      </c>
      <c r="I213" s="570">
        <f t="shared" si="17"/>
        <v>22531.552600000003</v>
      </c>
      <c r="J213" s="570">
        <v>49.3184</v>
      </c>
      <c r="K213" s="571">
        <f t="shared" si="18"/>
        <v>456.8589532507138</v>
      </c>
      <c r="L213" s="341">
        <v>60</v>
      </c>
      <c r="M213" s="343">
        <f t="shared" si="19"/>
        <v>375.5258766666667</v>
      </c>
      <c r="N213" s="344">
        <f ca="1" t="shared" si="14"/>
        <v>45</v>
      </c>
      <c r="O213" s="572">
        <f t="shared" si="15"/>
        <v>5632.8881500000025</v>
      </c>
      <c r="P213" s="340" t="s">
        <v>2123</v>
      </c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</row>
    <row r="214" spans="2:46" s="3" customFormat="1" ht="74.25" customHeight="1">
      <c r="B214" s="355">
        <v>43208</v>
      </c>
      <c r="C214" s="340" t="s">
        <v>2121</v>
      </c>
      <c r="D214" s="341" t="s">
        <v>2152</v>
      </c>
      <c r="E214" s="339" t="s">
        <v>3767</v>
      </c>
      <c r="F214" s="341" t="s">
        <v>42</v>
      </c>
      <c r="G214" s="341" t="s">
        <v>821</v>
      </c>
      <c r="H214" s="341" t="s">
        <v>2324</v>
      </c>
      <c r="I214" s="570">
        <f t="shared" si="17"/>
        <v>22531.552600000003</v>
      </c>
      <c r="J214" s="570">
        <v>49.3184</v>
      </c>
      <c r="K214" s="571">
        <f t="shared" si="18"/>
        <v>456.8589532507138</v>
      </c>
      <c r="L214" s="341">
        <v>60</v>
      </c>
      <c r="M214" s="343">
        <f t="shared" si="19"/>
        <v>375.5258766666667</v>
      </c>
      <c r="N214" s="344">
        <f ca="1" t="shared" si="14"/>
        <v>45</v>
      </c>
      <c r="O214" s="572">
        <f t="shared" si="15"/>
        <v>5632.8881500000025</v>
      </c>
      <c r="P214" s="340" t="s">
        <v>2123</v>
      </c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</row>
    <row r="215" spans="2:46" s="3" customFormat="1" ht="74.25" customHeight="1">
      <c r="B215" s="355">
        <v>43208</v>
      </c>
      <c r="C215" s="340" t="s">
        <v>2121</v>
      </c>
      <c r="D215" s="341" t="s">
        <v>2153</v>
      </c>
      <c r="E215" s="339" t="s">
        <v>3767</v>
      </c>
      <c r="F215" s="341" t="s">
        <v>42</v>
      </c>
      <c r="G215" s="341" t="s">
        <v>821</v>
      </c>
      <c r="H215" s="341" t="s">
        <v>2324</v>
      </c>
      <c r="I215" s="570">
        <f t="shared" si="17"/>
        <v>22531.552600000003</v>
      </c>
      <c r="J215" s="570">
        <v>49.3184</v>
      </c>
      <c r="K215" s="571">
        <f t="shared" si="18"/>
        <v>456.8589532507138</v>
      </c>
      <c r="L215" s="341">
        <v>60</v>
      </c>
      <c r="M215" s="343">
        <f t="shared" si="19"/>
        <v>375.5258766666667</v>
      </c>
      <c r="N215" s="344">
        <f ca="1" t="shared" si="14"/>
        <v>45</v>
      </c>
      <c r="O215" s="572">
        <f t="shared" si="15"/>
        <v>5632.8881500000025</v>
      </c>
      <c r="P215" s="340" t="s">
        <v>2123</v>
      </c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</row>
    <row r="216" spans="2:46" s="3" customFormat="1" ht="72" customHeight="1">
      <c r="B216" s="355">
        <v>43208</v>
      </c>
      <c r="C216" s="340" t="s">
        <v>2121</v>
      </c>
      <c r="D216" s="341" t="s">
        <v>2154</v>
      </c>
      <c r="E216" s="339" t="s">
        <v>3767</v>
      </c>
      <c r="F216" s="341" t="s">
        <v>42</v>
      </c>
      <c r="G216" s="341" t="s">
        <v>821</v>
      </c>
      <c r="H216" s="341" t="s">
        <v>2324</v>
      </c>
      <c r="I216" s="570">
        <f t="shared" si="17"/>
        <v>22531.552600000003</v>
      </c>
      <c r="J216" s="570">
        <v>49.3184</v>
      </c>
      <c r="K216" s="571">
        <f t="shared" si="18"/>
        <v>456.8589532507138</v>
      </c>
      <c r="L216" s="341">
        <v>60</v>
      </c>
      <c r="M216" s="343">
        <f t="shared" si="19"/>
        <v>375.5258766666667</v>
      </c>
      <c r="N216" s="344">
        <f ca="1" t="shared" si="14"/>
        <v>45</v>
      </c>
      <c r="O216" s="572">
        <f t="shared" si="15"/>
        <v>5632.8881500000025</v>
      </c>
      <c r="P216" s="340" t="s">
        <v>2123</v>
      </c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</row>
    <row r="217" spans="2:46" s="3" customFormat="1" ht="69" customHeight="1">
      <c r="B217" s="355">
        <v>43208</v>
      </c>
      <c r="C217" s="340" t="s">
        <v>2121</v>
      </c>
      <c r="D217" s="341" t="s">
        <v>2155</v>
      </c>
      <c r="E217" s="339" t="s">
        <v>3767</v>
      </c>
      <c r="F217" s="341" t="s">
        <v>42</v>
      </c>
      <c r="G217" s="341" t="s">
        <v>821</v>
      </c>
      <c r="H217" s="341" t="s">
        <v>2324</v>
      </c>
      <c r="I217" s="570">
        <f t="shared" si="17"/>
        <v>22531.552600000003</v>
      </c>
      <c r="J217" s="570">
        <v>49.3184</v>
      </c>
      <c r="K217" s="571">
        <f t="shared" si="18"/>
        <v>456.8589532507138</v>
      </c>
      <c r="L217" s="341">
        <v>60</v>
      </c>
      <c r="M217" s="343">
        <f t="shared" si="19"/>
        <v>375.5258766666667</v>
      </c>
      <c r="N217" s="344">
        <f ca="1" t="shared" si="14"/>
        <v>45</v>
      </c>
      <c r="O217" s="572">
        <f t="shared" si="15"/>
        <v>5632.8881500000025</v>
      </c>
      <c r="P217" s="340" t="s">
        <v>2123</v>
      </c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</row>
    <row r="218" spans="2:46" s="3" customFormat="1" ht="70.5" customHeight="1">
      <c r="B218" s="355">
        <v>43208</v>
      </c>
      <c r="C218" s="340" t="s">
        <v>2121</v>
      </c>
      <c r="D218" s="341" t="s">
        <v>2156</v>
      </c>
      <c r="E218" s="339" t="s">
        <v>3767</v>
      </c>
      <c r="F218" s="341" t="s">
        <v>42</v>
      </c>
      <c r="G218" s="341" t="s">
        <v>821</v>
      </c>
      <c r="H218" s="341" t="s">
        <v>2324</v>
      </c>
      <c r="I218" s="570">
        <f t="shared" si="17"/>
        <v>22531.552600000003</v>
      </c>
      <c r="J218" s="570">
        <v>49.3184</v>
      </c>
      <c r="K218" s="571">
        <f t="shared" si="18"/>
        <v>456.8589532507138</v>
      </c>
      <c r="L218" s="341">
        <v>60</v>
      </c>
      <c r="M218" s="343">
        <f t="shared" si="19"/>
        <v>375.5258766666667</v>
      </c>
      <c r="N218" s="344">
        <f ca="1" t="shared" si="14"/>
        <v>45</v>
      </c>
      <c r="O218" s="572">
        <f t="shared" si="15"/>
        <v>5632.8881500000025</v>
      </c>
      <c r="P218" s="340" t="s">
        <v>2123</v>
      </c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</row>
    <row r="219" spans="2:46" s="3" customFormat="1" ht="68.25" customHeight="1">
      <c r="B219" s="355">
        <v>43208</v>
      </c>
      <c r="C219" s="340" t="s">
        <v>2121</v>
      </c>
      <c r="D219" s="341" t="s">
        <v>2157</v>
      </c>
      <c r="E219" s="339" t="s">
        <v>3767</v>
      </c>
      <c r="F219" s="341" t="s">
        <v>42</v>
      </c>
      <c r="G219" s="341" t="s">
        <v>821</v>
      </c>
      <c r="H219" s="341" t="s">
        <v>2324</v>
      </c>
      <c r="I219" s="570">
        <f t="shared" si="17"/>
        <v>22531.552600000003</v>
      </c>
      <c r="J219" s="570">
        <v>49.3184</v>
      </c>
      <c r="K219" s="571">
        <f>+I219/J219</f>
        <v>456.8589532507138</v>
      </c>
      <c r="L219" s="341">
        <v>60</v>
      </c>
      <c r="M219" s="343">
        <f>IF(AND(I219&lt;&gt;0,L219&lt;&gt;0),I219/L219,0)</f>
        <v>375.5258766666667</v>
      </c>
      <c r="N219" s="344">
        <f ca="1" t="shared" si="14"/>
        <v>45</v>
      </c>
      <c r="O219" s="572">
        <f t="shared" si="15"/>
        <v>5632.8881500000025</v>
      </c>
      <c r="P219" s="340" t="s">
        <v>2123</v>
      </c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</row>
    <row r="220" spans="2:46" s="3" customFormat="1" ht="54" customHeight="1">
      <c r="B220" s="355">
        <v>43221</v>
      </c>
      <c r="C220" s="340" t="s">
        <v>2158</v>
      </c>
      <c r="D220" s="341" t="s">
        <v>2159</v>
      </c>
      <c r="E220" s="339" t="s">
        <v>2160</v>
      </c>
      <c r="F220" s="341" t="s">
        <v>2161</v>
      </c>
      <c r="G220" s="341" t="s">
        <v>2162</v>
      </c>
      <c r="H220" s="341" t="s">
        <v>437</v>
      </c>
      <c r="I220" s="570">
        <f>10381.01+1868.58</f>
        <v>12249.59</v>
      </c>
      <c r="J220" s="570">
        <v>49.3086</v>
      </c>
      <c r="K220" s="571">
        <f>+I220/J220</f>
        <v>248.42704923684713</v>
      </c>
      <c r="L220" s="341">
        <v>60</v>
      </c>
      <c r="M220" s="343">
        <f>IF(AND(I220&lt;&gt;0,L220&lt;&gt;0),I220/L220,0)</f>
        <v>204.15983333333332</v>
      </c>
      <c r="N220" s="344">
        <f aca="true" ca="1" t="shared" si="20" ref="N220:N283">IF(B220&lt;&gt;0,(ROUND((NOW()-B220)/30,0)),0)</f>
        <v>45</v>
      </c>
      <c r="O220" s="572">
        <f aca="true" t="shared" si="21" ref="O220:O283">IF(OR(I220=0,L220=0,N220=0),0,I220-(M220*N220))</f>
        <v>3062.397500000001</v>
      </c>
      <c r="P220" s="340" t="s">
        <v>1953</v>
      </c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</row>
    <row r="221" spans="2:46" s="3" customFormat="1" ht="49.5" customHeight="1">
      <c r="B221" s="355">
        <v>43221</v>
      </c>
      <c r="C221" s="340" t="s">
        <v>2158</v>
      </c>
      <c r="D221" s="341" t="s">
        <v>2163</v>
      </c>
      <c r="E221" s="339" t="s">
        <v>2160</v>
      </c>
      <c r="F221" s="341" t="s">
        <v>2164</v>
      </c>
      <c r="G221" s="341" t="s">
        <v>2162</v>
      </c>
      <c r="H221" s="341" t="s">
        <v>437</v>
      </c>
      <c r="I221" s="570">
        <f>10381.01+1868.58</f>
        <v>12249.59</v>
      </c>
      <c r="J221" s="570">
        <v>49.3086</v>
      </c>
      <c r="K221" s="571">
        <f>+I221/J221</f>
        <v>248.42704923684713</v>
      </c>
      <c r="L221" s="341">
        <v>60</v>
      </c>
      <c r="M221" s="343">
        <f>IF(AND(I221&lt;&gt;0,L221&lt;&gt;0),I221/L221,0)</f>
        <v>204.15983333333332</v>
      </c>
      <c r="N221" s="344">
        <f ca="1" t="shared" si="20"/>
        <v>45</v>
      </c>
      <c r="O221" s="572">
        <f t="shared" si="21"/>
        <v>3062.397500000001</v>
      </c>
      <c r="P221" s="340" t="s">
        <v>1953</v>
      </c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</row>
    <row r="222" spans="2:46" s="3" customFormat="1" ht="63.75" customHeight="1">
      <c r="B222" s="355">
        <v>43252</v>
      </c>
      <c r="C222" s="340" t="s">
        <v>2165</v>
      </c>
      <c r="D222" s="341" t="s">
        <v>2166</v>
      </c>
      <c r="E222" s="339" t="s">
        <v>2167</v>
      </c>
      <c r="F222" s="341" t="s">
        <v>42</v>
      </c>
      <c r="G222" s="341" t="s">
        <v>221</v>
      </c>
      <c r="H222" s="341" t="s">
        <v>437</v>
      </c>
      <c r="I222" s="570">
        <v>14514</v>
      </c>
      <c r="J222" s="570">
        <v>49.3086</v>
      </c>
      <c r="K222" s="571">
        <f>+I222/J222</f>
        <v>294.350275611151</v>
      </c>
      <c r="L222" s="341">
        <v>60</v>
      </c>
      <c r="M222" s="343">
        <f>IF(AND(I222&lt;&gt;0,L222&lt;&gt;0),I222/L222,0)</f>
        <v>241.9</v>
      </c>
      <c r="N222" s="344">
        <f ca="1" t="shared" si="20"/>
        <v>44</v>
      </c>
      <c r="O222" s="572">
        <f t="shared" si="21"/>
        <v>3870.3999999999996</v>
      </c>
      <c r="P222" s="340" t="s">
        <v>1953</v>
      </c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</row>
    <row r="223" spans="2:46" s="3" customFormat="1" ht="54" customHeight="1">
      <c r="B223" s="355">
        <v>43280</v>
      </c>
      <c r="C223" s="340" t="s">
        <v>2168</v>
      </c>
      <c r="D223" s="341" t="s">
        <v>2169</v>
      </c>
      <c r="E223" s="339" t="s">
        <v>2170</v>
      </c>
      <c r="F223" s="341" t="s">
        <v>2171</v>
      </c>
      <c r="G223" s="341" t="s">
        <v>2318</v>
      </c>
      <c r="H223" s="341" t="s">
        <v>437</v>
      </c>
      <c r="I223" s="570">
        <v>34990.01</v>
      </c>
      <c r="J223" s="570">
        <v>49.3401</v>
      </c>
      <c r="K223" s="571">
        <f>+I223/J223</f>
        <v>709.159689583118</v>
      </c>
      <c r="L223" s="341">
        <v>60</v>
      </c>
      <c r="M223" s="343">
        <f>IF(AND(I223&lt;&gt;0,L223&lt;&gt;0),I223/L223,0)</f>
        <v>583.1668333333333</v>
      </c>
      <c r="N223" s="344">
        <f ca="1" t="shared" si="20"/>
        <v>43</v>
      </c>
      <c r="O223" s="572">
        <f t="shared" si="21"/>
        <v>9913.836166666668</v>
      </c>
      <c r="P223" s="340" t="s">
        <v>2002</v>
      </c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</row>
    <row r="224" spans="2:46" s="3" customFormat="1" ht="36" customHeight="1">
      <c r="B224" s="355">
        <v>43319</v>
      </c>
      <c r="C224" s="340" t="s">
        <v>2172</v>
      </c>
      <c r="D224" s="341" t="s">
        <v>2173</v>
      </c>
      <c r="E224" s="339" t="s">
        <v>192</v>
      </c>
      <c r="F224" s="341" t="s">
        <v>42</v>
      </c>
      <c r="G224" s="341" t="s">
        <v>3585</v>
      </c>
      <c r="H224" s="341" t="s">
        <v>437</v>
      </c>
      <c r="I224" s="570">
        <v>4574.62</v>
      </c>
      <c r="J224" s="570">
        <v>49.6943</v>
      </c>
      <c r="K224" s="571">
        <f aca="true" t="shared" si="22" ref="K224:K231">+I224/J224</f>
        <v>92.05522564962179</v>
      </c>
      <c r="L224" s="341">
        <v>60</v>
      </c>
      <c r="M224" s="343">
        <f aca="true" t="shared" si="23" ref="M224:M231">IF(AND(I224&lt;&gt;0,L224&lt;&gt;0),I224/L224,0)</f>
        <v>76.24366666666667</v>
      </c>
      <c r="N224" s="344">
        <f ca="1" t="shared" si="20"/>
        <v>42</v>
      </c>
      <c r="O224" s="572">
        <f t="shared" si="21"/>
        <v>1372.386</v>
      </c>
      <c r="P224" s="340" t="s">
        <v>2174</v>
      </c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</row>
    <row r="225" spans="2:46" s="3" customFormat="1" ht="42.75" customHeight="1">
      <c r="B225" s="355">
        <v>43319</v>
      </c>
      <c r="C225" s="340" t="s">
        <v>2172</v>
      </c>
      <c r="D225" s="341" t="s">
        <v>2175</v>
      </c>
      <c r="E225" s="339" t="s">
        <v>528</v>
      </c>
      <c r="F225" s="341" t="s">
        <v>42</v>
      </c>
      <c r="G225" s="566" t="s">
        <v>3586</v>
      </c>
      <c r="H225" s="341" t="s">
        <v>437</v>
      </c>
      <c r="I225" s="570">
        <v>3245</v>
      </c>
      <c r="J225" s="570">
        <v>49.6943</v>
      </c>
      <c r="K225" s="571">
        <f t="shared" si="22"/>
        <v>65.29923955061244</v>
      </c>
      <c r="L225" s="341">
        <v>60</v>
      </c>
      <c r="M225" s="343">
        <f t="shared" si="23"/>
        <v>54.083333333333336</v>
      </c>
      <c r="N225" s="344">
        <f ca="1" t="shared" si="20"/>
        <v>42</v>
      </c>
      <c r="O225" s="572">
        <f t="shared" si="21"/>
        <v>973.5</v>
      </c>
      <c r="P225" s="340" t="s">
        <v>2174</v>
      </c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</row>
    <row r="226" spans="2:46" s="3" customFormat="1" ht="56.25" customHeight="1">
      <c r="B226" s="355">
        <v>43319</v>
      </c>
      <c r="C226" s="340" t="s">
        <v>2172</v>
      </c>
      <c r="D226" s="341" t="s">
        <v>2176</v>
      </c>
      <c r="E226" s="339" t="s">
        <v>528</v>
      </c>
      <c r="F226" s="341" t="s">
        <v>42</v>
      </c>
      <c r="G226" s="341" t="s">
        <v>3987</v>
      </c>
      <c r="H226" s="341" t="s">
        <v>437</v>
      </c>
      <c r="I226" s="570">
        <v>3245</v>
      </c>
      <c r="J226" s="570">
        <v>49.6943</v>
      </c>
      <c r="K226" s="571">
        <f t="shared" si="22"/>
        <v>65.29923955061244</v>
      </c>
      <c r="L226" s="341">
        <v>60</v>
      </c>
      <c r="M226" s="343">
        <f t="shared" si="23"/>
        <v>54.083333333333336</v>
      </c>
      <c r="N226" s="344">
        <f ca="1" t="shared" si="20"/>
        <v>42</v>
      </c>
      <c r="O226" s="572">
        <f t="shared" si="21"/>
        <v>973.5</v>
      </c>
      <c r="P226" s="340" t="s">
        <v>2174</v>
      </c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</row>
    <row r="227" spans="2:46" s="3" customFormat="1" ht="38.25" customHeight="1">
      <c r="B227" s="355">
        <v>43319</v>
      </c>
      <c r="C227" s="340" t="s">
        <v>2172</v>
      </c>
      <c r="D227" s="341" t="s">
        <v>2177</v>
      </c>
      <c r="E227" s="339" t="s">
        <v>528</v>
      </c>
      <c r="F227" s="341" t="s">
        <v>42</v>
      </c>
      <c r="G227" s="341" t="s">
        <v>2648</v>
      </c>
      <c r="H227" s="341" t="s">
        <v>437</v>
      </c>
      <c r="I227" s="570">
        <v>3245</v>
      </c>
      <c r="J227" s="570">
        <v>49.6943</v>
      </c>
      <c r="K227" s="571">
        <f t="shared" si="22"/>
        <v>65.29923955061244</v>
      </c>
      <c r="L227" s="341">
        <v>60</v>
      </c>
      <c r="M227" s="343">
        <f t="shared" si="23"/>
        <v>54.083333333333336</v>
      </c>
      <c r="N227" s="344">
        <f ca="1" t="shared" si="20"/>
        <v>42</v>
      </c>
      <c r="O227" s="572">
        <f t="shared" si="21"/>
        <v>973.5</v>
      </c>
      <c r="P227" s="340" t="s">
        <v>2174</v>
      </c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</row>
    <row r="228" spans="2:46" s="3" customFormat="1" ht="41.25" customHeight="1">
      <c r="B228" s="355">
        <v>43342</v>
      </c>
      <c r="C228" s="340" t="s">
        <v>2172</v>
      </c>
      <c r="D228" s="341" t="s">
        <v>2178</v>
      </c>
      <c r="E228" s="339" t="s">
        <v>528</v>
      </c>
      <c r="F228" s="341" t="s">
        <v>42</v>
      </c>
      <c r="G228" s="341" t="s">
        <v>2649</v>
      </c>
      <c r="H228" s="341" t="s">
        <v>437</v>
      </c>
      <c r="I228" s="570">
        <v>3245</v>
      </c>
      <c r="J228" s="570">
        <v>49.6943</v>
      </c>
      <c r="K228" s="571">
        <f t="shared" si="22"/>
        <v>65.29923955061244</v>
      </c>
      <c r="L228" s="341">
        <v>60</v>
      </c>
      <c r="M228" s="343">
        <f t="shared" si="23"/>
        <v>54.083333333333336</v>
      </c>
      <c r="N228" s="344">
        <f ca="1" t="shared" si="20"/>
        <v>41</v>
      </c>
      <c r="O228" s="572">
        <f t="shared" si="21"/>
        <v>1027.583333333333</v>
      </c>
      <c r="P228" s="340" t="s">
        <v>2174</v>
      </c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</row>
    <row r="229" spans="2:46" s="3" customFormat="1" ht="39.75" customHeight="1">
      <c r="B229" s="355">
        <v>43342</v>
      </c>
      <c r="C229" s="340" t="s">
        <v>2172</v>
      </c>
      <c r="D229" s="341" t="s">
        <v>2179</v>
      </c>
      <c r="E229" s="339" t="s">
        <v>528</v>
      </c>
      <c r="F229" s="341" t="s">
        <v>42</v>
      </c>
      <c r="G229" s="341" t="s">
        <v>3582</v>
      </c>
      <c r="H229" s="341" t="s">
        <v>437</v>
      </c>
      <c r="I229" s="570">
        <v>3245</v>
      </c>
      <c r="J229" s="570">
        <v>49.6943</v>
      </c>
      <c r="K229" s="571">
        <f t="shared" si="22"/>
        <v>65.29923955061244</v>
      </c>
      <c r="L229" s="341">
        <v>60</v>
      </c>
      <c r="M229" s="343">
        <f t="shared" si="23"/>
        <v>54.083333333333336</v>
      </c>
      <c r="N229" s="344">
        <f ca="1" t="shared" si="20"/>
        <v>41</v>
      </c>
      <c r="O229" s="572">
        <f t="shared" si="21"/>
        <v>1027.583333333333</v>
      </c>
      <c r="P229" s="340" t="s">
        <v>2174</v>
      </c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</row>
    <row r="230" spans="2:46" s="3" customFormat="1" ht="46.5" customHeight="1">
      <c r="B230" s="355">
        <v>43342</v>
      </c>
      <c r="C230" s="340" t="s">
        <v>2172</v>
      </c>
      <c r="D230" s="341" t="s">
        <v>2180</v>
      </c>
      <c r="E230" s="339" t="s">
        <v>2181</v>
      </c>
      <c r="F230" s="341" t="s">
        <v>42</v>
      </c>
      <c r="G230" s="341" t="s">
        <v>2647</v>
      </c>
      <c r="H230" s="341" t="s">
        <v>437</v>
      </c>
      <c r="I230" s="570">
        <v>4366</v>
      </c>
      <c r="J230" s="570">
        <v>49.6943</v>
      </c>
      <c r="K230" s="571">
        <f t="shared" si="22"/>
        <v>87.85715866809674</v>
      </c>
      <c r="L230" s="341">
        <v>60</v>
      </c>
      <c r="M230" s="343">
        <f t="shared" si="23"/>
        <v>72.76666666666667</v>
      </c>
      <c r="N230" s="344">
        <f ca="1" t="shared" si="20"/>
        <v>41</v>
      </c>
      <c r="O230" s="572">
        <f t="shared" si="21"/>
        <v>1382.5666666666666</v>
      </c>
      <c r="P230" s="340" t="s">
        <v>2174</v>
      </c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</row>
    <row r="231" spans="2:46" s="3" customFormat="1" ht="39.75" customHeight="1">
      <c r="B231" s="355">
        <v>43342</v>
      </c>
      <c r="C231" s="340" t="s">
        <v>2172</v>
      </c>
      <c r="D231" s="341" t="s">
        <v>2182</v>
      </c>
      <c r="E231" s="339" t="s">
        <v>2181</v>
      </c>
      <c r="F231" s="341" t="s">
        <v>42</v>
      </c>
      <c r="G231" s="341" t="s">
        <v>2647</v>
      </c>
      <c r="H231" s="341" t="s">
        <v>437</v>
      </c>
      <c r="I231" s="570">
        <v>4366</v>
      </c>
      <c r="J231" s="570">
        <v>49.6943</v>
      </c>
      <c r="K231" s="571">
        <f t="shared" si="22"/>
        <v>87.85715866809674</v>
      </c>
      <c r="L231" s="341">
        <v>60</v>
      </c>
      <c r="M231" s="343">
        <f t="shared" si="23"/>
        <v>72.76666666666667</v>
      </c>
      <c r="N231" s="344">
        <f ca="1" t="shared" si="20"/>
        <v>41</v>
      </c>
      <c r="O231" s="572">
        <f t="shared" si="21"/>
        <v>1382.5666666666666</v>
      </c>
      <c r="P231" s="340" t="s">
        <v>2174</v>
      </c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</row>
    <row r="232" spans="2:46" s="3" customFormat="1" ht="58.5" customHeight="1">
      <c r="B232" s="355">
        <v>43349</v>
      </c>
      <c r="C232" s="340" t="s">
        <v>2183</v>
      </c>
      <c r="D232" s="341" t="s">
        <v>2184</v>
      </c>
      <c r="E232" s="339" t="s">
        <v>2185</v>
      </c>
      <c r="F232" s="341" t="s">
        <v>2186</v>
      </c>
      <c r="G232" s="566" t="s">
        <v>737</v>
      </c>
      <c r="H232" s="341" t="s">
        <v>437</v>
      </c>
      <c r="I232" s="570">
        <v>16614.4</v>
      </c>
      <c r="J232" s="570">
        <v>49.7318</v>
      </c>
      <c r="K232" s="571">
        <f>+I232/J232</f>
        <v>334.0800051476118</v>
      </c>
      <c r="L232" s="341">
        <v>60</v>
      </c>
      <c r="M232" s="343">
        <f>IF(AND(I232&lt;&gt;0,L232&lt;&gt;0),I232/L232,0)</f>
        <v>276.9066666666667</v>
      </c>
      <c r="N232" s="344">
        <f ca="1" t="shared" si="20"/>
        <v>41</v>
      </c>
      <c r="O232" s="572">
        <f t="shared" si="21"/>
        <v>5261.226666666667</v>
      </c>
      <c r="P232" s="340" t="s">
        <v>1953</v>
      </c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</row>
    <row r="233" spans="2:46" s="3" customFormat="1" ht="53.25" customHeight="1">
      <c r="B233" s="355">
        <v>43349</v>
      </c>
      <c r="C233" s="340" t="s">
        <v>2183</v>
      </c>
      <c r="D233" s="341" t="s">
        <v>2187</v>
      </c>
      <c r="E233" s="339" t="s">
        <v>2185</v>
      </c>
      <c r="F233" s="341" t="s">
        <v>2188</v>
      </c>
      <c r="G233" s="566" t="s">
        <v>2645</v>
      </c>
      <c r="H233" s="341" t="s">
        <v>437</v>
      </c>
      <c r="I233" s="570">
        <v>16614.4</v>
      </c>
      <c r="J233" s="570">
        <v>49.7318</v>
      </c>
      <c r="K233" s="571">
        <f>+I233/J233</f>
        <v>334.0800051476118</v>
      </c>
      <c r="L233" s="341">
        <v>60</v>
      </c>
      <c r="M233" s="343">
        <f>IF(AND(I233&lt;&gt;0,L233&lt;&gt;0),I233/L233,0)</f>
        <v>276.9066666666667</v>
      </c>
      <c r="N233" s="344">
        <f ca="1" t="shared" si="20"/>
        <v>41</v>
      </c>
      <c r="O233" s="572">
        <f t="shared" si="21"/>
        <v>5261.226666666667</v>
      </c>
      <c r="P233" s="340" t="s">
        <v>1953</v>
      </c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</row>
    <row r="234" spans="2:46" s="3" customFormat="1" ht="39.75" customHeight="1">
      <c r="B234" s="355">
        <v>43354</v>
      </c>
      <c r="C234" s="340" t="s">
        <v>2172</v>
      </c>
      <c r="D234" s="341" t="s">
        <v>2189</v>
      </c>
      <c r="E234" s="339" t="s">
        <v>192</v>
      </c>
      <c r="F234" s="341" t="s">
        <v>42</v>
      </c>
      <c r="G234" s="341" t="s">
        <v>3854</v>
      </c>
      <c r="H234" s="341" t="s">
        <v>437</v>
      </c>
      <c r="I234" s="570">
        <v>4574.62</v>
      </c>
      <c r="J234" s="570">
        <v>49.732</v>
      </c>
      <c r="K234" s="571">
        <f>+I234/J234</f>
        <v>91.9854419689536</v>
      </c>
      <c r="L234" s="341">
        <v>60</v>
      </c>
      <c r="M234" s="343">
        <f>IF(AND(I234&lt;&gt;0,L234&lt;&gt;0),I234/L234,0)</f>
        <v>76.24366666666667</v>
      </c>
      <c r="N234" s="344">
        <f ca="1" t="shared" si="20"/>
        <v>40</v>
      </c>
      <c r="O234" s="572">
        <f t="shared" si="21"/>
        <v>1524.873333333333</v>
      </c>
      <c r="P234" s="340" t="s">
        <v>2174</v>
      </c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</row>
    <row r="235" spans="2:46" s="3" customFormat="1" ht="62.25" customHeight="1">
      <c r="B235" s="355">
        <v>43376</v>
      </c>
      <c r="C235" s="340" t="s">
        <v>2190</v>
      </c>
      <c r="D235" s="341" t="s">
        <v>2191</v>
      </c>
      <c r="E235" s="339" t="s">
        <v>2192</v>
      </c>
      <c r="F235" s="339" t="s">
        <v>2699</v>
      </c>
      <c r="G235" s="341" t="s">
        <v>3988</v>
      </c>
      <c r="H235" s="341" t="s">
        <v>437</v>
      </c>
      <c r="I235" s="570">
        <v>144872.54</v>
      </c>
      <c r="J235" s="570">
        <v>49.7923</v>
      </c>
      <c r="K235" s="571">
        <f aca="true" t="shared" si="24" ref="K235:K259">+I235/J235</f>
        <v>2909.5370167676533</v>
      </c>
      <c r="L235" s="341">
        <v>60</v>
      </c>
      <c r="M235" s="343">
        <f aca="true" t="shared" si="25" ref="M235:M298">IF(AND(I235&lt;&gt;0,L235&lt;&gt;0),I235/L235,0)</f>
        <v>2414.5423333333333</v>
      </c>
      <c r="N235" s="344">
        <f ca="1" t="shared" si="20"/>
        <v>40</v>
      </c>
      <c r="O235" s="572">
        <f t="shared" si="21"/>
        <v>48290.84666666668</v>
      </c>
      <c r="P235" s="340" t="s">
        <v>2193</v>
      </c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</row>
    <row r="236" spans="2:46" s="3" customFormat="1" ht="46.5" customHeight="1">
      <c r="B236" s="355">
        <v>43381</v>
      </c>
      <c r="C236" s="340" t="s">
        <v>1992</v>
      </c>
      <c r="D236" s="341" t="s">
        <v>2194</v>
      </c>
      <c r="E236" s="339" t="s">
        <v>2195</v>
      </c>
      <c r="F236" s="341" t="s">
        <v>2196</v>
      </c>
      <c r="G236" s="341" t="s">
        <v>533</v>
      </c>
      <c r="H236" s="341" t="s">
        <v>437</v>
      </c>
      <c r="I236" s="570">
        <v>11339.8</v>
      </c>
      <c r="J236" s="570">
        <v>49.8066</v>
      </c>
      <c r="K236" s="571">
        <f t="shared" si="24"/>
        <v>227.67665329494483</v>
      </c>
      <c r="L236" s="341">
        <v>60</v>
      </c>
      <c r="M236" s="343">
        <f t="shared" si="25"/>
        <v>188.99666666666664</v>
      </c>
      <c r="N236" s="344">
        <f ca="1" t="shared" si="20"/>
        <v>39</v>
      </c>
      <c r="O236" s="572">
        <f t="shared" si="21"/>
        <v>3968.9300000000003</v>
      </c>
      <c r="P236" s="340" t="s">
        <v>1953</v>
      </c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</row>
    <row r="237" spans="2:46" s="3" customFormat="1" ht="46.5" customHeight="1">
      <c r="B237" s="355">
        <v>43381</v>
      </c>
      <c r="C237" s="340" t="s">
        <v>1992</v>
      </c>
      <c r="D237" s="341" t="s">
        <v>2197</v>
      </c>
      <c r="E237" s="339" t="s">
        <v>2198</v>
      </c>
      <c r="F237" s="341" t="s">
        <v>2199</v>
      </c>
      <c r="G237" s="341" t="s">
        <v>553</v>
      </c>
      <c r="H237" s="341" t="s">
        <v>437</v>
      </c>
      <c r="I237" s="570">
        <f>21169.2/3</f>
        <v>7056.400000000001</v>
      </c>
      <c r="J237" s="570">
        <v>49.8066</v>
      </c>
      <c r="K237" s="571">
        <f t="shared" si="24"/>
        <v>141.6760027787482</v>
      </c>
      <c r="L237" s="341">
        <v>60</v>
      </c>
      <c r="M237" s="343">
        <f t="shared" si="25"/>
        <v>117.60666666666667</v>
      </c>
      <c r="N237" s="344">
        <f ca="1" t="shared" si="20"/>
        <v>39</v>
      </c>
      <c r="O237" s="572">
        <f t="shared" si="21"/>
        <v>2469.7400000000007</v>
      </c>
      <c r="P237" s="340" t="s">
        <v>1953</v>
      </c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</row>
    <row r="238" spans="2:46" s="3" customFormat="1" ht="46.5" customHeight="1">
      <c r="B238" s="355">
        <v>43381</v>
      </c>
      <c r="C238" s="340" t="s">
        <v>1992</v>
      </c>
      <c r="D238" s="341" t="s">
        <v>2200</v>
      </c>
      <c r="E238" s="339" t="s">
        <v>2198</v>
      </c>
      <c r="F238" s="341" t="s">
        <v>2697</v>
      </c>
      <c r="G238" s="341" t="s">
        <v>2698</v>
      </c>
      <c r="H238" s="341" t="s">
        <v>437</v>
      </c>
      <c r="I238" s="570">
        <f>21169.2/3</f>
        <v>7056.400000000001</v>
      </c>
      <c r="J238" s="570">
        <v>49.8066</v>
      </c>
      <c r="K238" s="571">
        <f t="shared" si="24"/>
        <v>141.6760027787482</v>
      </c>
      <c r="L238" s="341">
        <v>60</v>
      </c>
      <c r="M238" s="343">
        <f t="shared" si="25"/>
        <v>117.60666666666667</v>
      </c>
      <c r="N238" s="344">
        <f ca="1" t="shared" si="20"/>
        <v>39</v>
      </c>
      <c r="O238" s="572">
        <f t="shared" si="21"/>
        <v>2469.7400000000007</v>
      </c>
      <c r="P238" s="340" t="s">
        <v>1953</v>
      </c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</row>
    <row r="239" spans="2:46" s="3" customFormat="1" ht="46.5" customHeight="1">
      <c r="B239" s="355">
        <v>43381</v>
      </c>
      <c r="C239" s="340" t="s">
        <v>1992</v>
      </c>
      <c r="D239" s="341" t="s">
        <v>2201</v>
      </c>
      <c r="E239" s="339" t="s">
        <v>2198</v>
      </c>
      <c r="F239" s="341" t="s">
        <v>799</v>
      </c>
      <c r="G239" s="341" t="s">
        <v>2694</v>
      </c>
      <c r="H239" s="341" t="s">
        <v>437</v>
      </c>
      <c r="I239" s="570">
        <f>21169.2/3</f>
        <v>7056.400000000001</v>
      </c>
      <c r="J239" s="570">
        <v>49.8066</v>
      </c>
      <c r="K239" s="571">
        <f t="shared" si="24"/>
        <v>141.6760027787482</v>
      </c>
      <c r="L239" s="341">
        <v>60</v>
      </c>
      <c r="M239" s="343">
        <f t="shared" si="25"/>
        <v>117.60666666666667</v>
      </c>
      <c r="N239" s="344">
        <f ca="1" t="shared" si="20"/>
        <v>39</v>
      </c>
      <c r="O239" s="572">
        <f t="shared" si="21"/>
        <v>2469.7400000000007</v>
      </c>
      <c r="P239" s="340" t="s">
        <v>1953</v>
      </c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</row>
    <row r="240" spans="2:46" s="3" customFormat="1" ht="57.75" customHeight="1">
      <c r="B240" s="355">
        <v>43381</v>
      </c>
      <c r="C240" s="340" t="s">
        <v>1992</v>
      </c>
      <c r="D240" s="341" t="s">
        <v>2202</v>
      </c>
      <c r="E240" s="339" t="s">
        <v>2203</v>
      </c>
      <c r="F240" s="341" t="s">
        <v>2204</v>
      </c>
      <c r="G240" s="341" t="s">
        <v>553</v>
      </c>
      <c r="H240" s="341" t="s">
        <v>437</v>
      </c>
      <c r="I240" s="570">
        <f>67392.16/4</f>
        <v>16848.04</v>
      </c>
      <c r="J240" s="570">
        <v>49.8066</v>
      </c>
      <c r="K240" s="571">
        <f t="shared" si="24"/>
        <v>338.2692253637068</v>
      </c>
      <c r="L240" s="341">
        <v>60</v>
      </c>
      <c r="M240" s="343">
        <f t="shared" si="25"/>
        <v>280.8006666666667</v>
      </c>
      <c r="N240" s="344">
        <f ca="1" t="shared" si="20"/>
        <v>39</v>
      </c>
      <c r="O240" s="572">
        <f t="shared" si="21"/>
        <v>5896.814</v>
      </c>
      <c r="P240" s="340" t="s">
        <v>1953</v>
      </c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</row>
    <row r="241" spans="2:46" s="3" customFormat="1" ht="3" customHeight="1">
      <c r="B241" s="355">
        <v>43381</v>
      </c>
      <c r="C241" s="340" t="s">
        <v>1992</v>
      </c>
      <c r="D241" s="341" t="s">
        <v>2205</v>
      </c>
      <c r="E241" s="339" t="s">
        <v>2203</v>
      </c>
      <c r="F241" s="341" t="s">
        <v>2204</v>
      </c>
      <c r="G241" s="341" t="s">
        <v>615</v>
      </c>
      <c r="H241" s="341" t="s">
        <v>437</v>
      </c>
      <c r="I241" s="570">
        <f>67392.16/4</f>
        <v>16848.04</v>
      </c>
      <c r="J241" s="570">
        <v>49.8066</v>
      </c>
      <c r="K241" s="571">
        <f t="shared" si="24"/>
        <v>338.2692253637068</v>
      </c>
      <c r="L241" s="341">
        <v>60</v>
      </c>
      <c r="M241" s="343">
        <f t="shared" si="25"/>
        <v>280.8006666666667</v>
      </c>
      <c r="N241" s="344">
        <f ca="1" t="shared" si="20"/>
        <v>39</v>
      </c>
      <c r="O241" s="572">
        <f t="shared" si="21"/>
        <v>5896.814</v>
      </c>
      <c r="P241" s="340" t="s">
        <v>1953</v>
      </c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</row>
    <row r="242" spans="2:46" s="3" customFormat="1" ht="52.5" customHeight="1">
      <c r="B242" s="355">
        <v>43381</v>
      </c>
      <c r="C242" s="340" t="s">
        <v>1992</v>
      </c>
      <c r="D242" s="341" t="s">
        <v>2206</v>
      </c>
      <c r="E242" s="339" t="s">
        <v>2203</v>
      </c>
      <c r="F242" s="341" t="s">
        <v>2204</v>
      </c>
      <c r="G242" s="341" t="s">
        <v>3988</v>
      </c>
      <c r="H242" s="341" t="s">
        <v>437</v>
      </c>
      <c r="I242" s="570">
        <f>67392.16/4</f>
        <v>16848.04</v>
      </c>
      <c r="J242" s="570">
        <v>49.8066</v>
      </c>
      <c r="K242" s="571">
        <f t="shared" si="24"/>
        <v>338.2692253637068</v>
      </c>
      <c r="L242" s="341">
        <v>60</v>
      </c>
      <c r="M242" s="343">
        <f t="shared" si="25"/>
        <v>280.8006666666667</v>
      </c>
      <c r="N242" s="344">
        <f ca="1" t="shared" si="20"/>
        <v>39</v>
      </c>
      <c r="O242" s="572">
        <f t="shared" si="21"/>
        <v>5896.814</v>
      </c>
      <c r="P242" s="340" t="s">
        <v>1953</v>
      </c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</row>
    <row r="243" spans="2:46" s="3" customFormat="1" ht="48.75" customHeight="1">
      <c r="B243" s="355">
        <v>43381</v>
      </c>
      <c r="C243" s="340" t="s">
        <v>1992</v>
      </c>
      <c r="D243" s="341" t="s">
        <v>2207</v>
      </c>
      <c r="E243" s="339" t="s">
        <v>2203</v>
      </c>
      <c r="F243" s="341" t="s">
        <v>2204</v>
      </c>
      <c r="G243" s="341" t="s">
        <v>3988</v>
      </c>
      <c r="H243" s="341" t="s">
        <v>437</v>
      </c>
      <c r="I243" s="570">
        <f>67392.16/4</f>
        <v>16848.04</v>
      </c>
      <c r="J243" s="570">
        <v>49.8066</v>
      </c>
      <c r="K243" s="571">
        <f t="shared" si="24"/>
        <v>338.2692253637068</v>
      </c>
      <c r="L243" s="341">
        <v>60</v>
      </c>
      <c r="M243" s="343">
        <f t="shared" si="25"/>
        <v>280.8006666666667</v>
      </c>
      <c r="N243" s="344">
        <f ca="1" t="shared" si="20"/>
        <v>39</v>
      </c>
      <c r="O243" s="572">
        <f t="shared" si="21"/>
        <v>5896.814</v>
      </c>
      <c r="P243" s="340" t="s">
        <v>1953</v>
      </c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</row>
    <row r="244" spans="2:46" s="3" customFormat="1" ht="51" customHeight="1">
      <c r="B244" s="355">
        <v>43381</v>
      </c>
      <c r="C244" s="340" t="s">
        <v>1992</v>
      </c>
      <c r="D244" s="341" t="s">
        <v>2208</v>
      </c>
      <c r="E244" s="339" t="s">
        <v>2209</v>
      </c>
      <c r="F244" s="341" t="s">
        <v>2210</v>
      </c>
      <c r="G244" s="341" t="s">
        <v>553</v>
      </c>
      <c r="H244" s="341" t="s">
        <v>437</v>
      </c>
      <c r="I244" s="570">
        <v>21594</v>
      </c>
      <c r="J244" s="570">
        <v>49.8066</v>
      </c>
      <c r="K244" s="571">
        <f t="shared" si="24"/>
        <v>433.55699847008225</v>
      </c>
      <c r="L244" s="341">
        <v>60</v>
      </c>
      <c r="M244" s="343">
        <f t="shared" si="25"/>
        <v>359.9</v>
      </c>
      <c r="N244" s="344">
        <f ca="1" t="shared" si="20"/>
        <v>39</v>
      </c>
      <c r="O244" s="572">
        <f t="shared" si="21"/>
        <v>7557.9000000000015</v>
      </c>
      <c r="P244" s="340" t="s">
        <v>1953</v>
      </c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</row>
    <row r="245" spans="2:46" s="3" customFormat="1" ht="51.75" customHeight="1">
      <c r="B245" s="355">
        <v>43381</v>
      </c>
      <c r="C245" s="340" t="s">
        <v>1992</v>
      </c>
      <c r="D245" s="341" t="s">
        <v>2211</v>
      </c>
      <c r="E245" s="339" t="s">
        <v>2212</v>
      </c>
      <c r="F245" s="341" t="s">
        <v>2213</v>
      </c>
      <c r="G245" s="341" t="s">
        <v>1830</v>
      </c>
      <c r="H245" s="341" t="s">
        <v>437</v>
      </c>
      <c r="I245" s="570">
        <f>18875.28/2</f>
        <v>9437.64</v>
      </c>
      <c r="J245" s="570">
        <v>49.8066</v>
      </c>
      <c r="K245" s="571">
        <f t="shared" si="24"/>
        <v>189.48573080676053</v>
      </c>
      <c r="L245" s="341">
        <v>60</v>
      </c>
      <c r="M245" s="343">
        <f t="shared" si="25"/>
        <v>157.29399999999998</v>
      </c>
      <c r="N245" s="344">
        <f ca="1" t="shared" si="20"/>
        <v>39</v>
      </c>
      <c r="O245" s="572">
        <f t="shared" si="21"/>
        <v>3303.174</v>
      </c>
      <c r="P245" s="340" t="s">
        <v>1953</v>
      </c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</row>
    <row r="246" spans="2:46" s="3" customFormat="1" ht="54" customHeight="1">
      <c r="B246" s="355">
        <v>43381</v>
      </c>
      <c r="C246" s="340" t="s">
        <v>1992</v>
      </c>
      <c r="D246" s="341" t="s">
        <v>2214</v>
      </c>
      <c r="E246" s="339" t="s">
        <v>2212</v>
      </c>
      <c r="F246" s="341" t="s">
        <v>2213</v>
      </c>
      <c r="G246" s="341" t="s">
        <v>3596</v>
      </c>
      <c r="H246" s="341" t="s">
        <v>437</v>
      </c>
      <c r="I246" s="570">
        <f>18875.28/2</f>
        <v>9437.64</v>
      </c>
      <c r="J246" s="570">
        <v>49.8066</v>
      </c>
      <c r="K246" s="571">
        <f t="shared" si="24"/>
        <v>189.48573080676053</v>
      </c>
      <c r="L246" s="341">
        <v>60</v>
      </c>
      <c r="M246" s="343">
        <f t="shared" si="25"/>
        <v>157.29399999999998</v>
      </c>
      <c r="N246" s="344">
        <f ca="1" t="shared" si="20"/>
        <v>39</v>
      </c>
      <c r="O246" s="572">
        <f t="shared" si="21"/>
        <v>3303.174</v>
      </c>
      <c r="P246" s="340" t="s">
        <v>1953</v>
      </c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</row>
    <row r="247" spans="2:46" s="3" customFormat="1" ht="46.5" customHeight="1">
      <c r="B247" s="355">
        <v>43392</v>
      </c>
      <c r="C247" s="340" t="s">
        <v>2172</v>
      </c>
      <c r="D247" s="341" t="s">
        <v>2215</v>
      </c>
      <c r="E247" s="339" t="s">
        <v>2216</v>
      </c>
      <c r="F247" s="341" t="s">
        <v>2317</v>
      </c>
      <c r="G247" s="341" t="s">
        <v>3988</v>
      </c>
      <c r="H247" s="341" t="s">
        <v>437</v>
      </c>
      <c r="I247" s="570">
        <v>25901</v>
      </c>
      <c r="J247" s="570">
        <v>49.9451</v>
      </c>
      <c r="K247" s="571">
        <f t="shared" si="24"/>
        <v>518.5894111734685</v>
      </c>
      <c r="L247" s="341">
        <v>60</v>
      </c>
      <c r="M247" s="343">
        <f t="shared" si="25"/>
        <v>431.68333333333334</v>
      </c>
      <c r="N247" s="344">
        <f ca="1" t="shared" si="20"/>
        <v>39</v>
      </c>
      <c r="O247" s="572">
        <f t="shared" si="21"/>
        <v>9065.349999999999</v>
      </c>
      <c r="P247" s="340" t="s">
        <v>2174</v>
      </c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</row>
    <row r="248" spans="2:46" s="3" customFormat="1" ht="39.75" customHeight="1">
      <c r="B248" s="355">
        <v>43392</v>
      </c>
      <c r="C248" s="340" t="s">
        <v>2172</v>
      </c>
      <c r="D248" s="341" t="s">
        <v>2217</v>
      </c>
      <c r="E248" s="339" t="s">
        <v>192</v>
      </c>
      <c r="F248" s="341" t="s">
        <v>42</v>
      </c>
      <c r="G248" s="341" t="s">
        <v>3855</v>
      </c>
      <c r="H248" s="341" t="s">
        <v>437</v>
      </c>
      <c r="I248" s="570">
        <v>4574.62</v>
      </c>
      <c r="J248" s="570">
        <v>49.9451</v>
      </c>
      <c r="K248" s="571">
        <f t="shared" si="24"/>
        <v>91.5929690800499</v>
      </c>
      <c r="L248" s="341">
        <v>60</v>
      </c>
      <c r="M248" s="343">
        <f t="shared" si="25"/>
        <v>76.24366666666667</v>
      </c>
      <c r="N248" s="344">
        <f ca="1" t="shared" si="20"/>
        <v>39</v>
      </c>
      <c r="O248" s="572">
        <f t="shared" si="21"/>
        <v>1601.1169999999997</v>
      </c>
      <c r="P248" s="340" t="s">
        <v>2174</v>
      </c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</row>
    <row r="249" spans="2:46" s="3" customFormat="1" ht="38.25" customHeight="1">
      <c r="B249" s="355">
        <v>43392</v>
      </c>
      <c r="C249" s="340" t="s">
        <v>2172</v>
      </c>
      <c r="D249" s="341" t="s">
        <v>2218</v>
      </c>
      <c r="E249" s="339" t="s">
        <v>192</v>
      </c>
      <c r="F249" s="341" t="s">
        <v>42</v>
      </c>
      <c r="G249" s="341" t="s">
        <v>3597</v>
      </c>
      <c r="H249" s="341" t="s">
        <v>437</v>
      </c>
      <c r="I249" s="570">
        <v>4574.62</v>
      </c>
      <c r="J249" s="570">
        <v>49.9451</v>
      </c>
      <c r="K249" s="571">
        <f t="shared" si="24"/>
        <v>91.5929690800499</v>
      </c>
      <c r="L249" s="341">
        <v>60</v>
      </c>
      <c r="M249" s="343">
        <f t="shared" si="25"/>
        <v>76.24366666666667</v>
      </c>
      <c r="N249" s="344">
        <f ca="1" t="shared" si="20"/>
        <v>39</v>
      </c>
      <c r="O249" s="572">
        <f t="shared" si="21"/>
        <v>1601.1169999999997</v>
      </c>
      <c r="P249" s="340" t="s">
        <v>2174</v>
      </c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</row>
    <row r="250" spans="2:46" s="3" customFormat="1" ht="38.25" customHeight="1">
      <c r="B250" s="355">
        <v>43392</v>
      </c>
      <c r="C250" s="340" t="s">
        <v>2172</v>
      </c>
      <c r="D250" s="341" t="s">
        <v>2219</v>
      </c>
      <c r="E250" s="339" t="s">
        <v>192</v>
      </c>
      <c r="F250" s="341" t="s">
        <v>42</v>
      </c>
      <c r="G250" s="341" t="s">
        <v>3598</v>
      </c>
      <c r="H250" s="341" t="s">
        <v>437</v>
      </c>
      <c r="I250" s="570">
        <v>4574.62</v>
      </c>
      <c r="J250" s="570">
        <v>49.9451</v>
      </c>
      <c r="K250" s="571">
        <f t="shared" si="24"/>
        <v>91.5929690800499</v>
      </c>
      <c r="L250" s="341">
        <v>60</v>
      </c>
      <c r="M250" s="343">
        <f t="shared" si="25"/>
        <v>76.24366666666667</v>
      </c>
      <c r="N250" s="344">
        <f ca="1" t="shared" si="20"/>
        <v>39</v>
      </c>
      <c r="O250" s="572">
        <f t="shared" si="21"/>
        <v>1601.1169999999997</v>
      </c>
      <c r="P250" s="340" t="s">
        <v>2174</v>
      </c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</row>
    <row r="251" spans="2:46" s="3" customFormat="1" ht="39" customHeight="1">
      <c r="B251" s="355">
        <v>43392</v>
      </c>
      <c r="C251" s="340" t="s">
        <v>2172</v>
      </c>
      <c r="D251" s="341" t="s">
        <v>2220</v>
      </c>
      <c r="E251" s="339" t="s">
        <v>192</v>
      </c>
      <c r="F251" s="341" t="s">
        <v>42</v>
      </c>
      <c r="G251" s="341" t="s">
        <v>3488</v>
      </c>
      <c r="H251" s="341" t="s">
        <v>437</v>
      </c>
      <c r="I251" s="570">
        <v>4574.62</v>
      </c>
      <c r="J251" s="570">
        <v>49.9451</v>
      </c>
      <c r="K251" s="571">
        <f t="shared" si="24"/>
        <v>91.5929690800499</v>
      </c>
      <c r="L251" s="341">
        <v>60</v>
      </c>
      <c r="M251" s="343">
        <f t="shared" si="25"/>
        <v>76.24366666666667</v>
      </c>
      <c r="N251" s="344">
        <f ca="1" t="shared" si="20"/>
        <v>39</v>
      </c>
      <c r="O251" s="572">
        <f t="shared" si="21"/>
        <v>1601.1169999999997</v>
      </c>
      <c r="P251" s="340" t="s">
        <v>2174</v>
      </c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</row>
    <row r="252" spans="2:46" s="3" customFormat="1" ht="46.5" customHeight="1">
      <c r="B252" s="355">
        <v>43392</v>
      </c>
      <c r="C252" s="340" t="s">
        <v>2172</v>
      </c>
      <c r="D252" s="341" t="s">
        <v>2221</v>
      </c>
      <c r="E252" s="339" t="s">
        <v>192</v>
      </c>
      <c r="F252" s="341" t="s">
        <v>42</v>
      </c>
      <c r="G252" s="341" t="s">
        <v>3856</v>
      </c>
      <c r="H252" s="341" t="s">
        <v>437</v>
      </c>
      <c r="I252" s="570">
        <v>4574.62</v>
      </c>
      <c r="J252" s="570">
        <v>49.9451</v>
      </c>
      <c r="K252" s="571">
        <f t="shared" si="24"/>
        <v>91.5929690800499</v>
      </c>
      <c r="L252" s="341">
        <v>60</v>
      </c>
      <c r="M252" s="343">
        <f t="shared" si="25"/>
        <v>76.24366666666667</v>
      </c>
      <c r="N252" s="344">
        <f ca="1" t="shared" si="20"/>
        <v>39</v>
      </c>
      <c r="O252" s="572">
        <f t="shared" si="21"/>
        <v>1601.1169999999997</v>
      </c>
      <c r="P252" s="340" t="s">
        <v>2174</v>
      </c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</row>
    <row r="253" spans="2:46" s="3" customFormat="1" ht="46.5" customHeight="1">
      <c r="B253" s="355">
        <v>43392</v>
      </c>
      <c r="C253" s="340" t="s">
        <v>2172</v>
      </c>
      <c r="D253" s="341" t="s">
        <v>2222</v>
      </c>
      <c r="E253" s="339" t="s">
        <v>192</v>
      </c>
      <c r="F253" s="341" t="s">
        <v>42</v>
      </c>
      <c r="G253" s="341" t="s">
        <v>3858</v>
      </c>
      <c r="H253" s="341" t="s">
        <v>437</v>
      </c>
      <c r="I253" s="570">
        <v>4574.62</v>
      </c>
      <c r="J253" s="570">
        <v>49.9451</v>
      </c>
      <c r="K253" s="571">
        <f t="shared" si="24"/>
        <v>91.5929690800499</v>
      </c>
      <c r="L253" s="341">
        <v>60</v>
      </c>
      <c r="M253" s="343">
        <f t="shared" si="25"/>
        <v>76.24366666666667</v>
      </c>
      <c r="N253" s="344">
        <f ca="1" t="shared" si="20"/>
        <v>39</v>
      </c>
      <c r="O253" s="572">
        <f t="shared" si="21"/>
        <v>1601.1169999999997</v>
      </c>
      <c r="P253" s="340" t="s">
        <v>2174</v>
      </c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</row>
    <row r="254" spans="2:46" s="3" customFormat="1" ht="37.5" customHeight="1">
      <c r="B254" s="355">
        <v>43392</v>
      </c>
      <c r="C254" s="340" t="s">
        <v>2172</v>
      </c>
      <c r="D254" s="341" t="s">
        <v>2223</v>
      </c>
      <c r="E254" s="339" t="s">
        <v>192</v>
      </c>
      <c r="F254" s="341" t="s">
        <v>42</v>
      </c>
      <c r="G254" s="341" t="s">
        <v>3857</v>
      </c>
      <c r="H254" s="341" t="s">
        <v>437</v>
      </c>
      <c r="I254" s="570">
        <v>4574.62</v>
      </c>
      <c r="J254" s="570">
        <v>49.9451</v>
      </c>
      <c r="K254" s="571">
        <f t="shared" si="24"/>
        <v>91.5929690800499</v>
      </c>
      <c r="L254" s="341">
        <v>60</v>
      </c>
      <c r="M254" s="343">
        <f t="shared" si="25"/>
        <v>76.24366666666667</v>
      </c>
      <c r="N254" s="344">
        <f ca="1" t="shared" si="20"/>
        <v>39</v>
      </c>
      <c r="O254" s="572">
        <f t="shared" si="21"/>
        <v>1601.1169999999997</v>
      </c>
      <c r="P254" s="340" t="s">
        <v>2174</v>
      </c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</row>
    <row r="255" spans="2:46" s="3" customFormat="1" ht="37.5" customHeight="1">
      <c r="B255" s="355">
        <v>43392</v>
      </c>
      <c r="C255" s="340" t="s">
        <v>2172</v>
      </c>
      <c r="D255" s="341" t="s">
        <v>2224</v>
      </c>
      <c r="E255" s="339" t="s">
        <v>192</v>
      </c>
      <c r="F255" s="341" t="s">
        <v>42</v>
      </c>
      <c r="G255" s="341" t="s">
        <v>3011</v>
      </c>
      <c r="H255" s="341" t="s">
        <v>437</v>
      </c>
      <c r="I255" s="570">
        <v>4574.62</v>
      </c>
      <c r="J255" s="570">
        <v>49.9451</v>
      </c>
      <c r="K255" s="571">
        <f t="shared" si="24"/>
        <v>91.5929690800499</v>
      </c>
      <c r="L255" s="341">
        <v>60</v>
      </c>
      <c r="M255" s="343">
        <f t="shared" si="25"/>
        <v>76.24366666666667</v>
      </c>
      <c r="N255" s="344">
        <f ca="1" t="shared" si="20"/>
        <v>39</v>
      </c>
      <c r="O255" s="572">
        <f t="shared" si="21"/>
        <v>1601.1169999999997</v>
      </c>
      <c r="P255" s="340" t="s">
        <v>2174</v>
      </c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</row>
    <row r="256" spans="2:46" s="3" customFormat="1" ht="36" customHeight="1">
      <c r="B256" s="355">
        <v>43392</v>
      </c>
      <c r="C256" s="340" t="s">
        <v>2172</v>
      </c>
      <c r="D256" s="341" t="s">
        <v>2225</v>
      </c>
      <c r="E256" s="339" t="s">
        <v>192</v>
      </c>
      <c r="F256" s="341" t="s">
        <v>42</v>
      </c>
      <c r="G256" s="341" t="s">
        <v>3599</v>
      </c>
      <c r="H256" s="341" t="s">
        <v>437</v>
      </c>
      <c r="I256" s="570">
        <v>4574.62</v>
      </c>
      <c r="J256" s="570">
        <v>49.9451</v>
      </c>
      <c r="K256" s="571">
        <f t="shared" si="24"/>
        <v>91.5929690800499</v>
      </c>
      <c r="L256" s="341">
        <v>60</v>
      </c>
      <c r="M256" s="343">
        <f t="shared" si="25"/>
        <v>76.24366666666667</v>
      </c>
      <c r="N256" s="344">
        <f ca="1" t="shared" si="20"/>
        <v>39</v>
      </c>
      <c r="O256" s="572">
        <f t="shared" si="21"/>
        <v>1601.1169999999997</v>
      </c>
      <c r="P256" s="340" t="s">
        <v>2174</v>
      </c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</row>
    <row r="257" spans="2:46" s="3" customFormat="1" ht="36.75" customHeight="1">
      <c r="B257" s="355">
        <v>43392</v>
      </c>
      <c r="C257" s="340" t="s">
        <v>2172</v>
      </c>
      <c r="D257" s="341" t="s">
        <v>2226</v>
      </c>
      <c r="E257" s="339" t="s">
        <v>192</v>
      </c>
      <c r="F257" s="341" t="s">
        <v>42</v>
      </c>
      <c r="G257" s="341" t="s">
        <v>3489</v>
      </c>
      <c r="H257" s="341" t="s">
        <v>437</v>
      </c>
      <c r="I257" s="570">
        <v>4574.62</v>
      </c>
      <c r="J257" s="570">
        <v>49.9451</v>
      </c>
      <c r="K257" s="571">
        <f t="shared" si="24"/>
        <v>91.5929690800499</v>
      </c>
      <c r="L257" s="341">
        <v>60</v>
      </c>
      <c r="M257" s="343">
        <f t="shared" si="25"/>
        <v>76.24366666666667</v>
      </c>
      <c r="N257" s="344">
        <f ca="1" t="shared" si="20"/>
        <v>39</v>
      </c>
      <c r="O257" s="572">
        <f t="shared" si="21"/>
        <v>1601.1169999999997</v>
      </c>
      <c r="P257" s="340" t="s">
        <v>2174</v>
      </c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</row>
    <row r="258" spans="2:46" s="3" customFormat="1" ht="47.25" customHeight="1">
      <c r="B258" s="355">
        <v>43392</v>
      </c>
      <c r="C258" s="340" t="s">
        <v>2172</v>
      </c>
      <c r="D258" s="341" t="s">
        <v>2227</v>
      </c>
      <c r="E258" s="339" t="s">
        <v>192</v>
      </c>
      <c r="F258" s="341" t="s">
        <v>42</v>
      </c>
      <c r="G258" s="341" t="s">
        <v>3988</v>
      </c>
      <c r="H258" s="341" t="s">
        <v>437</v>
      </c>
      <c r="I258" s="570">
        <v>4574.62</v>
      </c>
      <c r="J258" s="570">
        <v>49.9451</v>
      </c>
      <c r="K258" s="571">
        <f t="shared" si="24"/>
        <v>91.5929690800499</v>
      </c>
      <c r="L258" s="341">
        <v>60</v>
      </c>
      <c r="M258" s="343">
        <f t="shared" si="25"/>
        <v>76.24366666666667</v>
      </c>
      <c r="N258" s="344">
        <f ca="1" t="shared" si="20"/>
        <v>39</v>
      </c>
      <c r="O258" s="572">
        <f t="shared" si="21"/>
        <v>1601.1169999999997</v>
      </c>
      <c r="P258" s="340" t="s">
        <v>2174</v>
      </c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</row>
    <row r="259" spans="2:46" s="3" customFormat="1" ht="45" customHeight="1">
      <c r="B259" s="355">
        <v>43392</v>
      </c>
      <c r="C259" s="340" t="s">
        <v>2172</v>
      </c>
      <c r="D259" s="341" t="s">
        <v>2228</v>
      </c>
      <c r="E259" s="339" t="s">
        <v>192</v>
      </c>
      <c r="F259" s="341" t="s">
        <v>42</v>
      </c>
      <c r="G259" s="341" t="s">
        <v>3988</v>
      </c>
      <c r="H259" s="341" t="s">
        <v>437</v>
      </c>
      <c r="I259" s="570">
        <v>4574.68</v>
      </c>
      <c r="J259" s="570">
        <v>49.9451</v>
      </c>
      <c r="K259" s="571">
        <f t="shared" si="24"/>
        <v>91.59417039909822</v>
      </c>
      <c r="L259" s="341">
        <v>60</v>
      </c>
      <c r="M259" s="343">
        <f t="shared" si="25"/>
        <v>76.24466666666667</v>
      </c>
      <c r="N259" s="344">
        <f ca="1" t="shared" si="20"/>
        <v>39</v>
      </c>
      <c r="O259" s="572">
        <f t="shared" si="21"/>
        <v>1601.138</v>
      </c>
      <c r="P259" s="340" t="s">
        <v>2174</v>
      </c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</row>
    <row r="260" spans="2:46" s="3" customFormat="1" ht="63" customHeight="1">
      <c r="B260" s="355">
        <v>43392</v>
      </c>
      <c r="C260" s="340" t="s">
        <v>2172</v>
      </c>
      <c r="D260" s="341" t="s">
        <v>2229</v>
      </c>
      <c r="E260" s="339" t="s">
        <v>2230</v>
      </c>
      <c r="F260" s="341" t="s">
        <v>42</v>
      </c>
      <c r="G260" s="341" t="s">
        <v>3988</v>
      </c>
      <c r="H260" s="341" t="s">
        <v>437</v>
      </c>
      <c r="I260" s="570">
        <v>3560.43</v>
      </c>
      <c r="J260" s="570">
        <v>49.9451</v>
      </c>
      <c r="K260" s="571">
        <f>+I260/J260</f>
        <v>71.28687298653922</v>
      </c>
      <c r="L260" s="341">
        <v>60</v>
      </c>
      <c r="M260" s="343">
        <f t="shared" si="25"/>
        <v>59.3405</v>
      </c>
      <c r="N260" s="344">
        <f ca="1" t="shared" si="20"/>
        <v>39</v>
      </c>
      <c r="O260" s="572">
        <f t="shared" si="21"/>
        <v>1246.1504999999997</v>
      </c>
      <c r="P260" s="340" t="s">
        <v>2174</v>
      </c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</row>
    <row r="261" spans="2:46" s="3" customFormat="1" ht="48.75" customHeight="1">
      <c r="B261" s="355">
        <v>43392</v>
      </c>
      <c r="C261" s="340" t="s">
        <v>2172</v>
      </c>
      <c r="D261" s="341" t="s">
        <v>2231</v>
      </c>
      <c r="E261" s="339" t="s">
        <v>2198</v>
      </c>
      <c r="F261" s="341" t="s">
        <v>2232</v>
      </c>
      <c r="G261" s="341" t="s">
        <v>3849</v>
      </c>
      <c r="H261" s="341" t="s">
        <v>437</v>
      </c>
      <c r="I261" s="570">
        <f>161424/18</f>
        <v>8968</v>
      </c>
      <c r="J261" s="570">
        <v>49.9451</v>
      </c>
      <c r="K261" s="571">
        <f>+I261/J261</f>
        <v>179.55715375482282</v>
      </c>
      <c r="L261" s="341">
        <v>60</v>
      </c>
      <c r="M261" s="343">
        <f t="shared" si="25"/>
        <v>149.46666666666667</v>
      </c>
      <c r="N261" s="344">
        <f ca="1" t="shared" si="20"/>
        <v>39</v>
      </c>
      <c r="O261" s="572">
        <f t="shared" si="21"/>
        <v>3138.8</v>
      </c>
      <c r="P261" s="340" t="s">
        <v>2174</v>
      </c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</row>
    <row r="262" spans="2:46" s="3" customFormat="1" ht="39" customHeight="1">
      <c r="B262" s="355">
        <v>43392</v>
      </c>
      <c r="C262" s="340" t="s">
        <v>2172</v>
      </c>
      <c r="D262" s="341" t="s">
        <v>2233</v>
      </c>
      <c r="E262" s="339" t="s">
        <v>2198</v>
      </c>
      <c r="F262" s="341" t="s">
        <v>2232</v>
      </c>
      <c r="G262" s="341" t="s">
        <v>3849</v>
      </c>
      <c r="H262" s="341" t="s">
        <v>437</v>
      </c>
      <c r="I262" s="570">
        <f aca="true" t="shared" si="26" ref="I262:I278">161424/18</f>
        <v>8968</v>
      </c>
      <c r="J262" s="570">
        <v>49.9451</v>
      </c>
      <c r="K262" s="571">
        <f aca="true" t="shared" si="27" ref="K262:K277">+I262/J262</f>
        <v>179.55715375482282</v>
      </c>
      <c r="L262" s="341">
        <v>60</v>
      </c>
      <c r="M262" s="343">
        <f t="shared" si="25"/>
        <v>149.46666666666667</v>
      </c>
      <c r="N262" s="344">
        <f ca="1" t="shared" si="20"/>
        <v>39</v>
      </c>
      <c r="O262" s="572">
        <f t="shared" si="21"/>
        <v>3138.8</v>
      </c>
      <c r="P262" s="340" t="s">
        <v>2174</v>
      </c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</row>
    <row r="263" spans="2:46" s="3" customFormat="1" ht="36.75" customHeight="1">
      <c r="B263" s="355">
        <v>43392</v>
      </c>
      <c r="C263" s="340" t="s">
        <v>2172</v>
      </c>
      <c r="D263" s="341" t="s">
        <v>2234</v>
      </c>
      <c r="E263" s="339" t="s">
        <v>2198</v>
      </c>
      <c r="F263" s="341" t="s">
        <v>2232</v>
      </c>
      <c r="G263" s="341" t="s">
        <v>3849</v>
      </c>
      <c r="H263" s="341" t="s">
        <v>437</v>
      </c>
      <c r="I263" s="570">
        <f t="shared" si="26"/>
        <v>8968</v>
      </c>
      <c r="J263" s="570">
        <v>49.9451</v>
      </c>
      <c r="K263" s="571">
        <f t="shared" si="27"/>
        <v>179.55715375482282</v>
      </c>
      <c r="L263" s="341">
        <v>60</v>
      </c>
      <c r="M263" s="343">
        <f t="shared" si="25"/>
        <v>149.46666666666667</v>
      </c>
      <c r="N263" s="344">
        <f ca="1" t="shared" si="20"/>
        <v>39</v>
      </c>
      <c r="O263" s="572">
        <f t="shared" si="21"/>
        <v>3138.8</v>
      </c>
      <c r="P263" s="340" t="s">
        <v>2174</v>
      </c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</row>
    <row r="264" spans="2:46" s="3" customFormat="1" ht="38.25" customHeight="1">
      <c r="B264" s="355">
        <v>43392</v>
      </c>
      <c r="C264" s="340" t="s">
        <v>2172</v>
      </c>
      <c r="D264" s="341" t="s">
        <v>2235</v>
      </c>
      <c r="E264" s="339" t="s">
        <v>2198</v>
      </c>
      <c r="F264" s="341" t="s">
        <v>2232</v>
      </c>
      <c r="G264" s="341" t="s">
        <v>3849</v>
      </c>
      <c r="H264" s="341" t="s">
        <v>437</v>
      </c>
      <c r="I264" s="570">
        <f t="shared" si="26"/>
        <v>8968</v>
      </c>
      <c r="J264" s="570">
        <v>49.9451</v>
      </c>
      <c r="K264" s="571">
        <f t="shared" si="27"/>
        <v>179.55715375482282</v>
      </c>
      <c r="L264" s="341">
        <v>60</v>
      </c>
      <c r="M264" s="343">
        <f t="shared" si="25"/>
        <v>149.46666666666667</v>
      </c>
      <c r="N264" s="344">
        <f ca="1" t="shared" si="20"/>
        <v>39</v>
      </c>
      <c r="O264" s="572">
        <f t="shared" si="21"/>
        <v>3138.8</v>
      </c>
      <c r="P264" s="340" t="s">
        <v>2174</v>
      </c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</row>
    <row r="265" spans="2:46" s="3" customFormat="1" ht="38.25" customHeight="1">
      <c r="B265" s="355">
        <v>43392</v>
      </c>
      <c r="C265" s="340" t="s">
        <v>2172</v>
      </c>
      <c r="D265" s="341" t="s">
        <v>2236</v>
      </c>
      <c r="E265" s="339" t="s">
        <v>2198</v>
      </c>
      <c r="F265" s="341" t="s">
        <v>2232</v>
      </c>
      <c r="G265" s="341" t="s">
        <v>3824</v>
      </c>
      <c r="H265" s="341" t="s">
        <v>437</v>
      </c>
      <c r="I265" s="570">
        <f t="shared" si="26"/>
        <v>8968</v>
      </c>
      <c r="J265" s="570">
        <v>49.9451</v>
      </c>
      <c r="K265" s="571">
        <f t="shared" si="27"/>
        <v>179.55715375482282</v>
      </c>
      <c r="L265" s="341">
        <v>60</v>
      </c>
      <c r="M265" s="343">
        <f t="shared" si="25"/>
        <v>149.46666666666667</v>
      </c>
      <c r="N265" s="344">
        <f ca="1" t="shared" si="20"/>
        <v>39</v>
      </c>
      <c r="O265" s="572">
        <f t="shared" si="21"/>
        <v>3138.8</v>
      </c>
      <c r="P265" s="340" t="s">
        <v>2174</v>
      </c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</row>
    <row r="266" spans="2:46" s="3" customFormat="1" ht="38.25" customHeight="1">
      <c r="B266" s="355">
        <v>43392</v>
      </c>
      <c r="C266" s="340" t="s">
        <v>2172</v>
      </c>
      <c r="D266" s="341" t="s">
        <v>2237</v>
      </c>
      <c r="E266" s="339" t="s">
        <v>2198</v>
      </c>
      <c r="F266" s="341" t="s">
        <v>2232</v>
      </c>
      <c r="G266" s="341" t="s">
        <v>3850</v>
      </c>
      <c r="H266" s="341" t="s">
        <v>437</v>
      </c>
      <c r="I266" s="570">
        <f t="shared" si="26"/>
        <v>8968</v>
      </c>
      <c r="J266" s="570">
        <v>49.9451</v>
      </c>
      <c r="K266" s="571">
        <f t="shared" si="27"/>
        <v>179.55715375482282</v>
      </c>
      <c r="L266" s="341">
        <v>60</v>
      </c>
      <c r="M266" s="343">
        <f t="shared" si="25"/>
        <v>149.46666666666667</v>
      </c>
      <c r="N266" s="344">
        <f ca="1" t="shared" si="20"/>
        <v>39</v>
      </c>
      <c r="O266" s="572">
        <f t="shared" si="21"/>
        <v>3138.8</v>
      </c>
      <c r="P266" s="340" t="s">
        <v>2174</v>
      </c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</row>
    <row r="267" spans="2:46" s="3" customFormat="1" ht="39" customHeight="1">
      <c r="B267" s="355">
        <v>43392</v>
      </c>
      <c r="C267" s="340" t="s">
        <v>2172</v>
      </c>
      <c r="D267" s="341" t="s">
        <v>2238</v>
      </c>
      <c r="E267" s="339" t="s">
        <v>2198</v>
      </c>
      <c r="F267" s="341" t="s">
        <v>2232</v>
      </c>
      <c r="G267" s="341" t="s">
        <v>3851</v>
      </c>
      <c r="H267" s="341" t="s">
        <v>437</v>
      </c>
      <c r="I267" s="570">
        <f t="shared" si="26"/>
        <v>8968</v>
      </c>
      <c r="J267" s="570">
        <v>49.9451</v>
      </c>
      <c r="K267" s="571">
        <f t="shared" si="27"/>
        <v>179.55715375482282</v>
      </c>
      <c r="L267" s="341">
        <v>60</v>
      </c>
      <c r="M267" s="343">
        <f t="shared" si="25"/>
        <v>149.46666666666667</v>
      </c>
      <c r="N267" s="344">
        <f ca="1" t="shared" si="20"/>
        <v>39</v>
      </c>
      <c r="O267" s="572">
        <f t="shared" si="21"/>
        <v>3138.8</v>
      </c>
      <c r="P267" s="340" t="s">
        <v>2174</v>
      </c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</row>
    <row r="268" spans="2:46" s="3" customFormat="1" ht="44.25" customHeight="1">
      <c r="B268" s="355">
        <v>43392</v>
      </c>
      <c r="C268" s="340" t="s">
        <v>2172</v>
      </c>
      <c r="D268" s="341" t="s">
        <v>2239</v>
      </c>
      <c r="E268" s="339" t="s">
        <v>2198</v>
      </c>
      <c r="F268" s="341" t="s">
        <v>2232</v>
      </c>
      <c r="G268" s="341" t="s">
        <v>3852</v>
      </c>
      <c r="H268" s="341" t="s">
        <v>437</v>
      </c>
      <c r="I268" s="570">
        <f t="shared" si="26"/>
        <v>8968</v>
      </c>
      <c r="J268" s="570">
        <v>49.9451</v>
      </c>
      <c r="K268" s="571">
        <f t="shared" si="27"/>
        <v>179.55715375482282</v>
      </c>
      <c r="L268" s="341">
        <v>60</v>
      </c>
      <c r="M268" s="343">
        <f t="shared" si="25"/>
        <v>149.46666666666667</v>
      </c>
      <c r="N268" s="344">
        <f ca="1" t="shared" si="20"/>
        <v>39</v>
      </c>
      <c r="O268" s="572">
        <f t="shared" si="21"/>
        <v>3138.8</v>
      </c>
      <c r="P268" s="340" t="s">
        <v>2174</v>
      </c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</row>
    <row r="269" spans="2:46" s="3" customFormat="1" ht="39" customHeight="1">
      <c r="B269" s="355">
        <v>43392</v>
      </c>
      <c r="C269" s="340" t="s">
        <v>2172</v>
      </c>
      <c r="D269" s="341" t="s">
        <v>2240</v>
      </c>
      <c r="E269" s="339" t="s">
        <v>2198</v>
      </c>
      <c r="F269" s="341" t="s">
        <v>2232</v>
      </c>
      <c r="G269" s="341" t="s">
        <v>3853</v>
      </c>
      <c r="H269" s="341" t="s">
        <v>437</v>
      </c>
      <c r="I269" s="570">
        <f t="shared" si="26"/>
        <v>8968</v>
      </c>
      <c r="J269" s="570">
        <v>49.9451</v>
      </c>
      <c r="K269" s="571">
        <f t="shared" si="27"/>
        <v>179.55715375482282</v>
      </c>
      <c r="L269" s="341">
        <v>60</v>
      </c>
      <c r="M269" s="343">
        <f t="shared" si="25"/>
        <v>149.46666666666667</v>
      </c>
      <c r="N269" s="344">
        <f ca="1" t="shared" si="20"/>
        <v>39</v>
      </c>
      <c r="O269" s="572">
        <f t="shared" si="21"/>
        <v>3138.8</v>
      </c>
      <c r="P269" s="340" t="s">
        <v>2174</v>
      </c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</row>
    <row r="270" spans="2:46" s="3" customFormat="1" ht="39" customHeight="1">
      <c r="B270" s="355">
        <v>43392</v>
      </c>
      <c r="C270" s="340" t="s">
        <v>2172</v>
      </c>
      <c r="D270" s="341" t="s">
        <v>2241</v>
      </c>
      <c r="E270" s="339" t="s">
        <v>2198</v>
      </c>
      <c r="F270" s="341" t="s">
        <v>2232</v>
      </c>
      <c r="G270" s="341" t="s">
        <v>3988</v>
      </c>
      <c r="H270" s="341" t="s">
        <v>437</v>
      </c>
      <c r="I270" s="570">
        <f t="shared" si="26"/>
        <v>8968</v>
      </c>
      <c r="J270" s="570">
        <v>49.9451</v>
      </c>
      <c r="K270" s="571">
        <f t="shared" si="27"/>
        <v>179.55715375482282</v>
      </c>
      <c r="L270" s="341">
        <v>60</v>
      </c>
      <c r="M270" s="343">
        <f t="shared" si="25"/>
        <v>149.46666666666667</v>
      </c>
      <c r="N270" s="344">
        <f ca="1" t="shared" si="20"/>
        <v>39</v>
      </c>
      <c r="O270" s="572">
        <f t="shared" si="21"/>
        <v>3138.8</v>
      </c>
      <c r="P270" s="340" t="s">
        <v>2174</v>
      </c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</row>
    <row r="271" spans="2:46" s="3" customFormat="1" ht="46.5" customHeight="1">
      <c r="B271" s="355">
        <v>43392</v>
      </c>
      <c r="C271" s="340" t="s">
        <v>2172</v>
      </c>
      <c r="D271" s="341" t="s">
        <v>2242</v>
      </c>
      <c r="E271" s="339" t="s">
        <v>2198</v>
      </c>
      <c r="F271" s="341" t="s">
        <v>2232</v>
      </c>
      <c r="G271" s="341" t="s">
        <v>3988</v>
      </c>
      <c r="H271" s="341" t="s">
        <v>437</v>
      </c>
      <c r="I271" s="570">
        <f t="shared" si="26"/>
        <v>8968</v>
      </c>
      <c r="J271" s="570">
        <v>49.9451</v>
      </c>
      <c r="K271" s="571">
        <f t="shared" si="27"/>
        <v>179.55715375482282</v>
      </c>
      <c r="L271" s="341">
        <v>60</v>
      </c>
      <c r="M271" s="343">
        <f t="shared" si="25"/>
        <v>149.46666666666667</v>
      </c>
      <c r="N271" s="344">
        <f ca="1" t="shared" si="20"/>
        <v>39</v>
      </c>
      <c r="O271" s="572">
        <f t="shared" si="21"/>
        <v>3138.8</v>
      </c>
      <c r="P271" s="340" t="s">
        <v>2174</v>
      </c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</row>
    <row r="272" spans="2:46" s="3" customFormat="1" ht="40.5" customHeight="1">
      <c r="B272" s="355">
        <v>43392</v>
      </c>
      <c r="C272" s="340" t="s">
        <v>2172</v>
      </c>
      <c r="D272" s="341" t="s">
        <v>2243</v>
      </c>
      <c r="E272" s="339" t="s">
        <v>2198</v>
      </c>
      <c r="F272" s="341" t="s">
        <v>2232</v>
      </c>
      <c r="G272" s="341" t="s">
        <v>3988</v>
      </c>
      <c r="H272" s="341" t="s">
        <v>437</v>
      </c>
      <c r="I272" s="570">
        <f t="shared" si="26"/>
        <v>8968</v>
      </c>
      <c r="J272" s="570">
        <v>49.9451</v>
      </c>
      <c r="K272" s="571">
        <f t="shared" si="27"/>
        <v>179.55715375482282</v>
      </c>
      <c r="L272" s="341">
        <v>60</v>
      </c>
      <c r="M272" s="343">
        <f t="shared" si="25"/>
        <v>149.46666666666667</v>
      </c>
      <c r="N272" s="344">
        <f ca="1" t="shared" si="20"/>
        <v>39</v>
      </c>
      <c r="O272" s="572">
        <f t="shared" si="21"/>
        <v>3138.8</v>
      </c>
      <c r="P272" s="340" t="s">
        <v>2174</v>
      </c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</row>
    <row r="273" spans="2:46" s="3" customFormat="1" ht="38.25" customHeight="1">
      <c r="B273" s="355">
        <v>43392</v>
      </c>
      <c r="C273" s="340" t="s">
        <v>2172</v>
      </c>
      <c r="D273" s="341" t="s">
        <v>2244</v>
      </c>
      <c r="E273" s="339" t="s">
        <v>2198</v>
      </c>
      <c r="F273" s="341" t="s">
        <v>2232</v>
      </c>
      <c r="G273" s="341" t="s">
        <v>3988</v>
      </c>
      <c r="H273" s="341" t="s">
        <v>437</v>
      </c>
      <c r="I273" s="570">
        <f t="shared" si="26"/>
        <v>8968</v>
      </c>
      <c r="J273" s="570">
        <v>49.9451</v>
      </c>
      <c r="K273" s="571">
        <f t="shared" si="27"/>
        <v>179.55715375482282</v>
      </c>
      <c r="L273" s="341">
        <v>60</v>
      </c>
      <c r="M273" s="343">
        <f t="shared" si="25"/>
        <v>149.46666666666667</v>
      </c>
      <c r="N273" s="344">
        <f ca="1" t="shared" si="20"/>
        <v>39</v>
      </c>
      <c r="O273" s="572">
        <f t="shared" si="21"/>
        <v>3138.8</v>
      </c>
      <c r="P273" s="340" t="s">
        <v>2174</v>
      </c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</row>
    <row r="274" spans="2:46" s="3" customFormat="1" ht="39" customHeight="1">
      <c r="B274" s="355">
        <v>43392</v>
      </c>
      <c r="C274" s="340" t="s">
        <v>2172</v>
      </c>
      <c r="D274" s="341" t="s">
        <v>2245</v>
      </c>
      <c r="E274" s="339" t="s">
        <v>2198</v>
      </c>
      <c r="F274" s="341" t="s">
        <v>2232</v>
      </c>
      <c r="G274" s="341" t="s">
        <v>3988</v>
      </c>
      <c r="H274" s="341" t="s">
        <v>437</v>
      </c>
      <c r="I274" s="570">
        <f t="shared" si="26"/>
        <v>8968</v>
      </c>
      <c r="J274" s="570">
        <v>49.9451</v>
      </c>
      <c r="K274" s="571">
        <f t="shared" si="27"/>
        <v>179.55715375482282</v>
      </c>
      <c r="L274" s="341">
        <v>60</v>
      </c>
      <c r="M274" s="343">
        <f t="shared" si="25"/>
        <v>149.46666666666667</v>
      </c>
      <c r="N274" s="344">
        <f ca="1" t="shared" si="20"/>
        <v>39</v>
      </c>
      <c r="O274" s="572">
        <f t="shared" si="21"/>
        <v>3138.8</v>
      </c>
      <c r="P274" s="340" t="s">
        <v>2174</v>
      </c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</row>
    <row r="275" spans="2:46" s="3" customFormat="1" ht="50.25" customHeight="1">
      <c r="B275" s="355">
        <v>43392</v>
      </c>
      <c r="C275" s="340" t="s">
        <v>2172</v>
      </c>
      <c r="D275" s="341" t="s">
        <v>2246</v>
      </c>
      <c r="E275" s="339" t="s">
        <v>2198</v>
      </c>
      <c r="F275" s="341" t="s">
        <v>2232</v>
      </c>
      <c r="G275" s="341" t="s">
        <v>3988</v>
      </c>
      <c r="H275" s="341" t="s">
        <v>437</v>
      </c>
      <c r="I275" s="570">
        <f t="shared" si="26"/>
        <v>8968</v>
      </c>
      <c r="J275" s="570">
        <v>49.9451</v>
      </c>
      <c r="K275" s="571">
        <f t="shared" si="27"/>
        <v>179.55715375482282</v>
      </c>
      <c r="L275" s="341">
        <v>60</v>
      </c>
      <c r="M275" s="343">
        <f t="shared" si="25"/>
        <v>149.46666666666667</v>
      </c>
      <c r="N275" s="344">
        <f ca="1" t="shared" si="20"/>
        <v>39</v>
      </c>
      <c r="O275" s="572">
        <f t="shared" si="21"/>
        <v>3138.8</v>
      </c>
      <c r="P275" s="340" t="s">
        <v>2174</v>
      </c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</row>
    <row r="276" spans="2:46" s="3" customFormat="1" ht="39" customHeight="1">
      <c r="B276" s="355">
        <v>43392</v>
      </c>
      <c r="C276" s="340" t="s">
        <v>2172</v>
      </c>
      <c r="D276" s="341" t="s">
        <v>2247</v>
      </c>
      <c r="E276" s="339" t="s">
        <v>2198</v>
      </c>
      <c r="F276" s="341" t="s">
        <v>2232</v>
      </c>
      <c r="G276" s="341" t="s">
        <v>3988</v>
      </c>
      <c r="H276" s="341" t="s">
        <v>437</v>
      </c>
      <c r="I276" s="570">
        <f t="shared" si="26"/>
        <v>8968</v>
      </c>
      <c r="J276" s="570">
        <v>49.9451</v>
      </c>
      <c r="K276" s="571">
        <f t="shared" si="27"/>
        <v>179.55715375482282</v>
      </c>
      <c r="L276" s="341">
        <v>60</v>
      </c>
      <c r="M276" s="343">
        <f t="shared" si="25"/>
        <v>149.46666666666667</v>
      </c>
      <c r="N276" s="344">
        <f ca="1" t="shared" si="20"/>
        <v>39</v>
      </c>
      <c r="O276" s="572">
        <f t="shared" si="21"/>
        <v>3138.8</v>
      </c>
      <c r="P276" s="340" t="s">
        <v>2174</v>
      </c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</row>
    <row r="277" spans="2:46" s="3" customFormat="1" ht="60">
      <c r="B277" s="355">
        <v>43392</v>
      </c>
      <c r="C277" s="340" t="s">
        <v>2172</v>
      </c>
      <c r="D277" s="341" t="s">
        <v>2248</v>
      </c>
      <c r="E277" s="339" t="s">
        <v>2198</v>
      </c>
      <c r="F277" s="341" t="s">
        <v>2232</v>
      </c>
      <c r="G277" s="341" t="s">
        <v>3988</v>
      </c>
      <c r="H277" s="341" t="s">
        <v>437</v>
      </c>
      <c r="I277" s="570">
        <f t="shared" si="26"/>
        <v>8968</v>
      </c>
      <c r="J277" s="570">
        <v>49.9451</v>
      </c>
      <c r="K277" s="571">
        <f t="shared" si="27"/>
        <v>179.55715375482282</v>
      </c>
      <c r="L277" s="341">
        <v>60</v>
      </c>
      <c r="M277" s="343">
        <f t="shared" si="25"/>
        <v>149.46666666666667</v>
      </c>
      <c r="N277" s="344">
        <f ca="1" t="shared" si="20"/>
        <v>39</v>
      </c>
      <c r="O277" s="572">
        <f t="shared" si="21"/>
        <v>3138.8</v>
      </c>
      <c r="P277" s="340" t="s">
        <v>2174</v>
      </c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</row>
    <row r="278" spans="2:46" s="3" customFormat="1" ht="60">
      <c r="B278" s="355">
        <v>43392</v>
      </c>
      <c r="C278" s="340" t="s">
        <v>2172</v>
      </c>
      <c r="D278" s="341" t="s">
        <v>2249</v>
      </c>
      <c r="E278" s="339" t="s">
        <v>2198</v>
      </c>
      <c r="F278" s="341" t="s">
        <v>2232</v>
      </c>
      <c r="G278" s="341" t="s">
        <v>3988</v>
      </c>
      <c r="H278" s="341" t="s">
        <v>437</v>
      </c>
      <c r="I278" s="570">
        <f t="shared" si="26"/>
        <v>8968</v>
      </c>
      <c r="J278" s="570">
        <v>49.9451</v>
      </c>
      <c r="K278" s="571">
        <f>+I278/J278</f>
        <v>179.55715375482282</v>
      </c>
      <c r="L278" s="341">
        <v>60</v>
      </c>
      <c r="M278" s="343">
        <f t="shared" si="25"/>
        <v>149.46666666666667</v>
      </c>
      <c r="N278" s="344">
        <f ca="1" t="shared" si="20"/>
        <v>39</v>
      </c>
      <c r="O278" s="572">
        <f t="shared" si="21"/>
        <v>3138.8</v>
      </c>
      <c r="P278" s="340" t="s">
        <v>2174</v>
      </c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</row>
    <row r="279" spans="2:46" s="3" customFormat="1" ht="60">
      <c r="B279" s="355">
        <v>43392</v>
      </c>
      <c r="C279" s="340" t="s">
        <v>2172</v>
      </c>
      <c r="D279" s="341" t="s">
        <v>2250</v>
      </c>
      <c r="E279" s="339" t="s">
        <v>2251</v>
      </c>
      <c r="F279" s="341" t="s">
        <v>42</v>
      </c>
      <c r="G279" s="341" t="s">
        <v>3988</v>
      </c>
      <c r="H279" s="341" t="s">
        <v>437</v>
      </c>
      <c r="I279" s="570">
        <v>116820</v>
      </c>
      <c r="J279" s="570">
        <v>49.9451</v>
      </c>
      <c r="K279" s="571">
        <f>+I279/J279</f>
        <v>2338.9681870694026</v>
      </c>
      <c r="L279" s="341">
        <v>60</v>
      </c>
      <c r="M279" s="343">
        <f t="shared" si="25"/>
        <v>1947</v>
      </c>
      <c r="N279" s="344">
        <f ca="1" t="shared" si="20"/>
        <v>39</v>
      </c>
      <c r="O279" s="572">
        <f t="shared" si="21"/>
        <v>40887</v>
      </c>
      <c r="P279" s="340" t="s">
        <v>2174</v>
      </c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</row>
    <row r="280" spans="2:46" s="3" customFormat="1" ht="42" customHeight="1">
      <c r="B280" s="355">
        <v>43392</v>
      </c>
      <c r="C280" s="340" t="s">
        <v>2172</v>
      </c>
      <c r="D280" s="341" t="s">
        <v>2252</v>
      </c>
      <c r="E280" s="339" t="s">
        <v>2181</v>
      </c>
      <c r="F280" s="341" t="s">
        <v>42</v>
      </c>
      <c r="G280" s="341" t="s">
        <v>3599</v>
      </c>
      <c r="H280" s="341" t="s">
        <v>437</v>
      </c>
      <c r="I280" s="570">
        <v>4366</v>
      </c>
      <c r="J280" s="570">
        <v>49.9451</v>
      </c>
      <c r="K280" s="571">
        <f>+I280/J280</f>
        <v>87.41598274905847</v>
      </c>
      <c r="L280" s="341">
        <v>60</v>
      </c>
      <c r="M280" s="343">
        <f t="shared" si="25"/>
        <v>72.76666666666667</v>
      </c>
      <c r="N280" s="344">
        <f ca="1" t="shared" si="20"/>
        <v>39</v>
      </c>
      <c r="O280" s="572">
        <f t="shared" si="21"/>
        <v>1528.1</v>
      </c>
      <c r="P280" s="340" t="s">
        <v>2174</v>
      </c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</row>
    <row r="281" spans="2:46" s="3" customFormat="1" ht="60">
      <c r="B281" s="355">
        <v>43392</v>
      </c>
      <c r="C281" s="340" t="s">
        <v>2172</v>
      </c>
      <c r="D281" s="341" t="s">
        <v>2253</v>
      </c>
      <c r="E281" s="339" t="s">
        <v>2181</v>
      </c>
      <c r="F281" s="341" t="s">
        <v>42</v>
      </c>
      <c r="G281" s="341" t="s">
        <v>3599</v>
      </c>
      <c r="H281" s="341" t="s">
        <v>437</v>
      </c>
      <c r="I281" s="570">
        <v>4366</v>
      </c>
      <c r="J281" s="570">
        <v>49.9451</v>
      </c>
      <c r="K281" s="571">
        <f aca="true" t="shared" si="28" ref="K281:K346">+I281/J281</f>
        <v>87.41598274905847</v>
      </c>
      <c r="L281" s="341">
        <v>60</v>
      </c>
      <c r="M281" s="343">
        <f t="shared" si="25"/>
        <v>72.76666666666667</v>
      </c>
      <c r="N281" s="344">
        <f ca="1" t="shared" si="20"/>
        <v>39</v>
      </c>
      <c r="O281" s="572">
        <f t="shared" si="21"/>
        <v>1528.1</v>
      </c>
      <c r="P281" s="340" t="s">
        <v>2174</v>
      </c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</row>
    <row r="282" spans="2:46" s="3" customFormat="1" ht="63" customHeight="1">
      <c r="B282" s="355">
        <v>43392</v>
      </c>
      <c r="C282" s="340" t="s">
        <v>2172</v>
      </c>
      <c r="D282" s="341" t="s">
        <v>2254</v>
      </c>
      <c r="E282" s="339" t="s">
        <v>2181</v>
      </c>
      <c r="F282" s="341" t="s">
        <v>42</v>
      </c>
      <c r="G282" s="341" t="s">
        <v>3988</v>
      </c>
      <c r="H282" s="341" t="s">
        <v>437</v>
      </c>
      <c r="I282" s="570">
        <v>4366</v>
      </c>
      <c r="J282" s="570">
        <v>49.9451</v>
      </c>
      <c r="K282" s="571">
        <f t="shared" si="28"/>
        <v>87.41598274905847</v>
      </c>
      <c r="L282" s="341">
        <v>60</v>
      </c>
      <c r="M282" s="343">
        <f t="shared" si="25"/>
        <v>72.76666666666667</v>
      </c>
      <c r="N282" s="344">
        <f ca="1" t="shared" si="20"/>
        <v>39</v>
      </c>
      <c r="O282" s="572">
        <f t="shared" si="21"/>
        <v>1528.1</v>
      </c>
      <c r="P282" s="340" t="s">
        <v>2174</v>
      </c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</row>
    <row r="283" spans="2:46" s="3" customFormat="1" ht="60">
      <c r="B283" s="355">
        <v>43392</v>
      </c>
      <c r="C283" s="340" t="s">
        <v>2172</v>
      </c>
      <c r="D283" s="341" t="s">
        <v>2255</v>
      </c>
      <c r="E283" s="339" t="s">
        <v>2181</v>
      </c>
      <c r="F283" s="341" t="s">
        <v>42</v>
      </c>
      <c r="G283" s="341" t="s">
        <v>3988</v>
      </c>
      <c r="H283" s="341" t="s">
        <v>437</v>
      </c>
      <c r="I283" s="570">
        <v>4366</v>
      </c>
      <c r="J283" s="570">
        <v>49.9451</v>
      </c>
      <c r="K283" s="571">
        <f t="shared" si="28"/>
        <v>87.41598274905847</v>
      </c>
      <c r="L283" s="341">
        <v>60</v>
      </c>
      <c r="M283" s="343">
        <f t="shared" si="25"/>
        <v>72.76666666666667</v>
      </c>
      <c r="N283" s="344">
        <f ca="1" t="shared" si="20"/>
        <v>39</v>
      </c>
      <c r="O283" s="572">
        <f t="shared" si="21"/>
        <v>1528.1</v>
      </c>
      <c r="P283" s="340" t="s">
        <v>2174</v>
      </c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</row>
    <row r="284" spans="2:46" s="3" customFormat="1" ht="60">
      <c r="B284" s="355">
        <v>43392</v>
      </c>
      <c r="C284" s="340" t="s">
        <v>2172</v>
      </c>
      <c r="D284" s="341" t="s">
        <v>2256</v>
      </c>
      <c r="E284" s="339" t="s">
        <v>2181</v>
      </c>
      <c r="F284" s="341" t="s">
        <v>42</v>
      </c>
      <c r="G284" s="341" t="s">
        <v>3988</v>
      </c>
      <c r="H284" s="341" t="s">
        <v>437</v>
      </c>
      <c r="I284" s="570">
        <v>4366</v>
      </c>
      <c r="J284" s="570">
        <v>49.9451</v>
      </c>
      <c r="K284" s="571">
        <f t="shared" si="28"/>
        <v>87.41598274905847</v>
      </c>
      <c r="L284" s="341">
        <v>60</v>
      </c>
      <c r="M284" s="343">
        <f t="shared" si="25"/>
        <v>72.76666666666667</v>
      </c>
      <c r="N284" s="344">
        <f aca="true" ca="1" t="shared" si="29" ref="N284:N349">IF(B284&lt;&gt;0,(ROUND((NOW()-B284)/30,0)),0)</f>
        <v>39</v>
      </c>
      <c r="O284" s="572">
        <f aca="true" t="shared" si="30" ref="O284:O349">IF(OR(I284=0,L284=0,N284=0),0,I284-(M284*N284))</f>
        <v>1528.1</v>
      </c>
      <c r="P284" s="340" t="s">
        <v>2174</v>
      </c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</row>
    <row r="285" spans="2:46" s="3" customFormat="1" ht="39" customHeight="1">
      <c r="B285" s="355">
        <v>43392</v>
      </c>
      <c r="C285" s="340" t="s">
        <v>2172</v>
      </c>
      <c r="D285" s="341" t="s">
        <v>2257</v>
      </c>
      <c r="E285" s="339" t="s">
        <v>2181</v>
      </c>
      <c r="F285" s="341" t="s">
        <v>42</v>
      </c>
      <c r="G285" s="341" t="s">
        <v>3988</v>
      </c>
      <c r="H285" s="341" t="s">
        <v>437</v>
      </c>
      <c r="I285" s="570">
        <v>4366</v>
      </c>
      <c r="J285" s="570">
        <v>49.9451</v>
      </c>
      <c r="K285" s="571">
        <f t="shared" si="28"/>
        <v>87.41598274905847</v>
      </c>
      <c r="L285" s="341">
        <v>60</v>
      </c>
      <c r="M285" s="343">
        <f t="shared" si="25"/>
        <v>72.76666666666667</v>
      </c>
      <c r="N285" s="344">
        <f ca="1" t="shared" si="29"/>
        <v>39</v>
      </c>
      <c r="O285" s="572">
        <f t="shared" si="30"/>
        <v>1528.1</v>
      </c>
      <c r="P285" s="340" t="s">
        <v>2174</v>
      </c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</row>
    <row r="286" spans="2:46" s="3" customFormat="1" ht="60">
      <c r="B286" s="355">
        <v>43392</v>
      </c>
      <c r="C286" s="340" t="s">
        <v>2172</v>
      </c>
      <c r="D286" s="341" t="s">
        <v>2258</v>
      </c>
      <c r="E286" s="339" t="s">
        <v>2181</v>
      </c>
      <c r="F286" s="341" t="s">
        <v>42</v>
      </c>
      <c r="G286" s="341" t="s">
        <v>3988</v>
      </c>
      <c r="H286" s="341" t="s">
        <v>437</v>
      </c>
      <c r="I286" s="570">
        <v>4366</v>
      </c>
      <c r="J286" s="570">
        <v>49.9451</v>
      </c>
      <c r="K286" s="571">
        <f t="shared" si="28"/>
        <v>87.41598274905847</v>
      </c>
      <c r="L286" s="341">
        <v>60</v>
      </c>
      <c r="M286" s="343">
        <f t="shared" si="25"/>
        <v>72.76666666666667</v>
      </c>
      <c r="N286" s="344">
        <f ca="1" t="shared" si="29"/>
        <v>39</v>
      </c>
      <c r="O286" s="572">
        <f t="shared" si="30"/>
        <v>1528.1</v>
      </c>
      <c r="P286" s="340" t="s">
        <v>2174</v>
      </c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</row>
    <row r="287" spans="2:46" s="3" customFormat="1" ht="60">
      <c r="B287" s="355">
        <v>43392</v>
      </c>
      <c r="C287" s="340" t="s">
        <v>2172</v>
      </c>
      <c r="D287" s="341" t="s">
        <v>2259</v>
      </c>
      <c r="E287" s="339" t="s">
        <v>2181</v>
      </c>
      <c r="F287" s="341" t="s">
        <v>42</v>
      </c>
      <c r="G287" s="341" t="s">
        <v>3988</v>
      </c>
      <c r="H287" s="341" t="s">
        <v>437</v>
      </c>
      <c r="I287" s="570">
        <v>4366</v>
      </c>
      <c r="J287" s="570">
        <v>49.9451</v>
      </c>
      <c r="K287" s="571">
        <f t="shared" si="28"/>
        <v>87.41598274905847</v>
      </c>
      <c r="L287" s="341">
        <v>60</v>
      </c>
      <c r="M287" s="343">
        <f t="shared" si="25"/>
        <v>72.76666666666667</v>
      </c>
      <c r="N287" s="344">
        <f ca="1" t="shared" si="29"/>
        <v>39</v>
      </c>
      <c r="O287" s="572">
        <f t="shared" si="30"/>
        <v>1528.1</v>
      </c>
      <c r="P287" s="340" t="s">
        <v>2174</v>
      </c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</row>
    <row r="288" spans="2:46" s="3" customFormat="1" ht="66" customHeight="1">
      <c r="B288" s="355">
        <v>43392</v>
      </c>
      <c r="C288" s="340" t="s">
        <v>2172</v>
      </c>
      <c r="D288" s="341" t="s">
        <v>2260</v>
      </c>
      <c r="E288" s="339" t="s">
        <v>2181</v>
      </c>
      <c r="F288" s="341" t="s">
        <v>42</v>
      </c>
      <c r="G288" s="341" t="s">
        <v>3988</v>
      </c>
      <c r="H288" s="341" t="s">
        <v>437</v>
      </c>
      <c r="I288" s="570">
        <v>4366</v>
      </c>
      <c r="J288" s="570">
        <v>49.9451</v>
      </c>
      <c r="K288" s="571">
        <f t="shared" si="28"/>
        <v>87.41598274905847</v>
      </c>
      <c r="L288" s="341">
        <v>60</v>
      </c>
      <c r="M288" s="343">
        <f t="shared" si="25"/>
        <v>72.76666666666667</v>
      </c>
      <c r="N288" s="344">
        <f ca="1" t="shared" si="29"/>
        <v>39</v>
      </c>
      <c r="O288" s="572">
        <f t="shared" si="30"/>
        <v>1528.1</v>
      </c>
      <c r="P288" s="340" t="s">
        <v>2174</v>
      </c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</row>
    <row r="289" spans="2:46" s="3" customFormat="1" ht="65.25" customHeight="1">
      <c r="B289" s="355">
        <v>43392</v>
      </c>
      <c r="C289" s="340" t="s">
        <v>2172</v>
      </c>
      <c r="D289" s="341" t="s">
        <v>2261</v>
      </c>
      <c r="E289" s="339" t="s">
        <v>2181</v>
      </c>
      <c r="F289" s="341" t="s">
        <v>42</v>
      </c>
      <c r="G289" s="341" t="s">
        <v>3988</v>
      </c>
      <c r="H289" s="341" t="s">
        <v>437</v>
      </c>
      <c r="I289" s="570">
        <v>4366</v>
      </c>
      <c r="J289" s="570">
        <v>49.9451</v>
      </c>
      <c r="K289" s="571">
        <f t="shared" si="28"/>
        <v>87.41598274905847</v>
      </c>
      <c r="L289" s="341">
        <v>60</v>
      </c>
      <c r="M289" s="343">
        <f t="shared" si="25"/>
        <v>72.76666666666667</v>
      </c>
      <c r="N289" s="344">
        <f ca="1" t="shared" si="29"/>
        <v>39</v>
      </c>
      <c r="O289" s="572">
        <f t="shared" si="30"/>
        <v>1528.1</v>
      </c>
      <c r="P289" s="340" t="s">
        <v>2174</v>
      </c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</row>
    <row r="290" spans="2:46" s="3" customFormat="1" ht="42" customHeight="1">
      <c r="B290" s="355">
        <v>43392</v>
      </c>
      <c r="C290" s="340" t="s">
        <v>2172</v>
      </c>
      <c r="D290" s="341" t="s">
        <v>2262</v>
      </c>
      <c r="E290" s="339" t="s">
        <v>528</v>
      </c>
      <c r="F290" s="341" t="s">
        <v>42</v>
      </c>
      <c r="G290" s="566" t="s">
        <v>3637</v>
      </c>
      <c r="H290" s="341" t="s">
        <v>437</v>
      </c>
      <c r="I290" s="570">
        <v>3245</v>
      </c>
      <c r="J290" s="570">
        <v>49.9451</v>
      </c>
      <c r="K290" s="571">
        <f t="shared" si="28"/>
        <v>64.97133852970562</v>
      </c>
      <c r="L290" s="341">
        <v>60</v>
      </c>
      <c r="M290" s="343">
        <f t="shared" si="25"/>
        <v>54.083333333333336</v>
      </c>
      <c r="N290" s="344">
        <f ca="1" t="shared" si="29"/>
        <v>39</v>
      </c>
      <c r="O290" s="572">
        <f t="shared" si="30"/>
        <v>1135.75</v>
      </c>
      <c r="P290" s="340" t="s">
        <v>2174</v>
      </c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</row>
    <row r="291" spans="2:46" s="3" customFormat="1" ht="39" customHeight="1">
      <c r="B291" s="355">
        <v>43392</v>
      </c>
      <c r="C291" s="340" t="s">
        <v>2172</v>
      </c>
      <c r="D291" s="341" t="s">
        <v>2263</v>
      </c>
      <c r="E291" s="339" t="s">
        <v>528</v>
      </c>
      <c r="F291" s="341" t="s">
        <v>42</v>
      </c>
      <c r="G291" s="566" t="s">
        <v>3638</v>
      </c>
      <c r="H291" s="341" t="s">
        <v>437</v>
      </c>
      <c r="I291" s="570">
        <v>3245</v>
      </c>
      <c r="J291" s="570">
        <v>49.9451</v>
      </c>
      <c r="K291" s="571">
        <f t="shared" si="28"/>
        <v>64.97133852970562</v>
      </c>
      <c r="L291" s="341">
        <v>60</v>
      </c>
      <c r="M291" s="343">
        <f t="shared" si="25"/>
        <v>54.083333333333336</v>
      </c>
      <c r="N291" s="344">
        <f ca="1" t="shared" si="29"/>
        <v>39</v>
      </c>
      <c r="O291" s="572">
        <f t="shared" si="30"/>
        <v>1135.75</v>
      </c>
      <c r="P291" s="340" t="s">
        <v>2174</v>
      </c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</row>
    <row r="292" spans="2:46" s="3" customFormat="1" ht="40.5" customHeight="1">
      <c r="B292" s="355">
        <v>43392</v>
      </c>
      <c r="C292" s="340" t="s">
        <v>2172</v>
      </c>
      <c r="D292" s="341" t="s">
        <v>2264</v>
      </c>
      <c r="E292" s="339" t="s">
        <v>528</v>
      </c>
      <c r="F292" s="341" t="s">
        <v>42</v>
      </c>
      <c r="G292" s="341" t="s">
        <v>2650</v>
      </c>
      <c r="H292" s="341" t="s">
        <v>437</v>
      </c>
      <c r="I292" s="570">
        <v>3245</v>
      </c>
      <c r="J292" s="570">
        <v>49.9451</v>
      </c>
      <c r="K292" s="571">
        <f t="shared" si="28"/>
        <v>64.97133852970562</v>
      </c>
      <c r="L292" s="341">
        <v>60</v>
      </c>
      <c r="M292" s="343">
        <f t="shared" si="25"/>
        <v>54.083333333333336</v>
      </c>
      <c r="N292" s="344">
        <f ca="1" t="shared" si="29"/>
        <v>39</v>
      </c>
      <c r="O292" s="572">
        <f t="shared" si="30"/>
        <v>1135.75</v>
      </c>
      <c r="P292" s="340" t="s">
        <v>2174</v>
      </c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</row>
    <row r="293" spans="2:46" s="3" customFormat="1" ht="39.75" customHeight="1">
      <c r="B293" s="355">
        <v>43392</v>
      </c>
      <c r="C293" s="340" t="s">
        <v>2265</v>
      </c>
      <c r="D293" s="341" t="s">
        <v>2266</v>
      </c>
      <c r="E293" s="339" t="s">
        <v>2267</v>
      </c>
      <c r="F293" s="341" t="s">
        <v>42</v>
      </c>
      <c r="G293" s="341" t="s">
        <v>3274</v>
      </c>
      <c r="H293" s="341" t="s">
        <v>3275</v>
      </c>
      <c r="I293" s="570">
        <v>20763.14</v>
      </c>
      <c r="J293" s="570">
        <v>49.9451</v>
      </c>
      <c r="K293" s="571">
        <f t="shared" si="28"/>
        <v>415.71925974720244</v>
      </c>
      <c r="L293" s="341">
        <v>60</v>
      </c>
      <c r="M293" s="343">
        <f t="shared" si="25"/>
        <v>346.0523333333333</v>
      </c>
      <c r="N293" s="344">
        <f ca="1" t="shared" si="29"/>
        <v>39</v>
      </c>
      <c r="O293" s="572">
        <f t="shared" si="30"/>
        <v>7267.099</v>
      </c>
      <c r="P293" s="340" t="s">
        <v>2067</v>
      </c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</row>
    <row r="294" spans="2:46" s="3" customFormat="1" ht="53.25" customHeight="1">
      <c r="B294" s="355">
        <v>43392</v>
      </c>
      <c r="C294" s="340" t="s">
        <v>2268</v>
      </c>
      <c r="D294" s="341" t="s">
        <v>2269</v>
      </c>
      <c r="E294" s="339" t="s">
        <v>2270</v>
      </c>
      <c r="F294" s="341" t="s">
        <v>2271</v>
      </c>
      <c r="G294" s="341" t="s">
        <v>2653</v>
      </c>
      <c r="H294" s="341" t="s">
        <v>437</v>
      </c>
      <c r="I294" s="570">
        <f>10957.48/2</f>
        <v>5478.74</v>
      </c>
      <c r="J294" s="570">
        <v>49.9451</v>
      </c>
      <c r="K294" s="571">
        <f t="shared" si="28"/>
        <v>109.69524537942661</v>
      </c>
      <c r="L294" s="341">
        <v>60</v>
      </c>
      <c r="M294" s="343">
        <f t="shared" si="25"/>
        <v>91.31233333333333</v>
      </c>
      <c r="N294" s="344">
        <f ca="1" t="shared" si="29"/>
        <v>39</v>
      </c>
      <c r="O294" s="572">
        <f t="shared" si="30"/>
        <v>1917.5590000000002</v>
      </c>
      <c r="P294" s="340" t="s">
        <v>2067</v>
      </c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</row>
    <row r="295" spans="2:46" s="3" customFormat="1" ht="57.75" customHeight="1">
      <c r="B295" s="355">
        <v>43392</v>
      </c>
      <c r="C295" s="340" t="s">
        <v>2268</v>
      </c>
      <c r="D295" s="341" t="s">
        <v>2272</v>
      </c>
      <c r="E295" s="339" t="s">
        <v>2270</v>
      </c>
      <c r="F295" s="341" t="s">
        <v>2273</v>
      </c>
      <c r="G295" s="341" t="s">
        <v>2653</v>
      </c>
      <c r="H295" s="341" t="s">
        <v>437</v>
      </c>
      <c r="I295" s="570">
        <f>10957.48/2</f>
        <v>5478.74</v>
      </c>
      <c r="J295" s="570">
        <v>49.9451</v>
      </c>
      <c r="K295" s="571">
        <f t="shared" si="28"/>
        <v>109.69524537942661</v>
      </c>
      <c r="L295" s="341">
        <v>60</v>
      </c>
      <c r="M295" s="343">
        <f t="shared" si="25"/>
        <v>91.31233333333333</v>
      </c>
      <c r="N295" s="344">
        <f ca="1" t="shared" si="29"/>
        <v>39</v>
      </c>
      <c r="O295" s="572">
        <f t="shared" si="30"/>
        <v>1917.5590000000002</v>
      </c>
      <c r="P295" s="340" t="s">
        <v>2067</v>
      </c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</row>
    <row r="296" spans="2:46" s="3" customFormat="1" ht="51" customHeight="1">
      <c r="B296" s="355">
        <v>43392</v>
      </c>
      <c r="C296" s="340" t="s">
        <v>2274</v>
      </c>
      <c r="D296" s="341" t="s">
        <v>2275</v>
      </c>
      <c r="E296" s="339" t="s">
        <v>2209</v>
      </c>
      <c r="F296" s="341" t="s">
        <v>2276</v>
      </c>
      <c r="G296" s="341" t="s">
        <v>3580</v>
      </c>
      <c r="H296" s="341" t="s">
        <v>437</v>
      </c>
      <c r="I296" s="570">
        <v>25080</v>
      </c>
      <c r="J296" s="570">
        <v>49.8066</v>
      </c>
      <c r="K296" s="571">
        <f t="shared" si="28"/>
        <v>503.5477225909819</v>
      </c>
      <c r="L296" s="341">
        <v>60</v>
      </c>
      <c r="M296" s="343">
        <f t="shared" si="25"/>
        <v>418</v>
      </c>
      <c r="N296" s="344">
        <f ca="1" t="shared" si="29"/>
        <v>39</v>
      </c>
      <c r="O296" s="572">
        <f t="shared" si="30"/>
        <v>8778</v>
      </c>
      <c r="P296" s="340" t="s">
        <v>1953</v>
      </c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</row>
    <row r="297" spans="2:46" s="3" customFormat="1" ht="56.25" customHeight="1">
      <c r="B297" s="355">
        <v>43392</v>
      </c>
      <c r="C297" s="340" t="s">
        <v>2277</v>
      </c>
      <c r="D297" s="341" t="s">
        <v>2278</v>
      </c>
      <c r="E297" s="339" t="s">
        <v>2279</v>
      </c>
      <c r="F297" s="341" t="s">
        <v>2280</v>
      </c>
      <c r="G297" s="341" t="s">
        <v>3484</v>
      </c>
      <c r="H297" s="341" t="s">
        <v>437</v>
      </c>
      <c r="I297" s="570">
        <v>263261.25</v>
      </c>
      <c r="J297" s="570">
        <v>49.2436</v>
      </c>
      <c r="K297" s="571">
        <f>+I297/J297</f>
        <v>5346.100813100586</v>
      </c>
      <c r="L297" s="341">
        <v>60</v>
      </c>
      <c r="M297" s="343">
        <f>IF(AND(I297&lt;&gt;0,L297&lt;&gt;0),I297/L297,0)</f>
        <v>4387.6875</v>
      </c>
      <c r="N297" s="344">
        <f ca="1" t="shared" si="29"/>
        <v>39</v>
      </c>
      <c r="O297" s="572">
        <f t="shared" si="30"/>
        <v>92141.4375</v>
      </c>
      <c r="P297" s="340" t="s">
        <v>2281</v>
      </c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</row>
    <row r="298" spans="2:46" s="3" customFormat="1" ht="58.5" customHeight="1">
      <c r="B298" s="355">
        <v>43392</v>
      </c>
      <c r="C298" s="340" t="s">
        <v>2282</v>
      </c>
      <c r="D298" s="341" t="s">
        <v>2283</v>
      </c>
      <c r="E298" s="339" t="s">
        <v>2284</v>
      </c>
      <c r="F298" s="341" t="s">
        <v>2285</v>
      </c>
      <c r="G298" s="341" t="s">
        <v>3484</v>
      </c>
      <c r="H298" s="341" t="s">
        <v>437</v>
      </c>
      <c r="I298" s="570">
        <v>372241.56</v>
      </c>
      <c r="J298" s="570">
        <v>49.2436</v>
      </c>
      <c r="K298" s="571">
        <f t="shared" si="28"/>
        <v>7559.186574499021</v>
      </c>
      <c r="L298" s="341">
        <v>60</v>
      </c>
      <c r="M298" s="343">
        <f t="shared" si="25"/>
        <v>6204.026</v>
      </c>
      <c r="N298" s="344">
        <f ca="1" t="shared" si="29"/>
        <v>39</v>
      </c>
      <c r="O298" s="572">
        <f t="shared" si="30"/>
        <v>130284.546</v>
      </c>
      <c r="P298" s="340" t="s">
        <v>2286</v>
      </c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</row>
    <row r="299" spans="2:46" s="3" customFormat="1" ht="39" customHeight="1">
      <c r="B299" s="355">
        <v>43392</v>
      </c>
      <c r="C299" s="340" t="s">
        <v>2282</v>
      </c>
      <c r="D299" s="341" t="s">
        <v>2287</v>
      </c>
      <c r="E299" s="339" t="s">
        <v>2288</v>
      </c>
      <c r="F299" s="341" t="s">
        <v>42</v>
      </c>
      <c r="G299" s="341" t="s">
        <v>81</v>
      </c>
      <c r="H299" s="341" t="s">
        <v>437</v>
      </c>
      <c r="I299" s="570">
        <v>207659.63</v>
      </c>
      <c r="J299" s="570">
        <v>49.2436</v>
      </c>
      <c r="K299" s="571">
        <f t="shared" si="28"/>
        <v>4216.987182090667</v>
      </c>
      <c r="L299" s="341">
        <v>60</v>
      </c>
      <c r="M299" s="343">
        <f aca="true" t="shared" si="31" ref="M299:M364">IF(AND(I299&lt;&gt;0,L299&lt;&gt;0),I299/L299,0)</f>
        <v>3460.9938333333334</v>
      </c>
      <c r="N299" s="344">
        <f ca="1" t="shared" si="29"/>
        <v>39</v>
      </c>
      <c r="O299" s="572">
        <f t="shared" si="30"/>
        <v>72680.87049999999</v>
      </c>
      <c r="P299" s="340" t="s">
        <v>2286</v>
      </c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</row>
    <row r="300" spans="2:46" s="3" customFormat="1" ht="40.5" customHeight="1">
      <c r="B300" s="355">
        <v>43392</v>
      </c>
      <c r="C300" s="340" t="s">
        <v>2282</v>
      </c>
      <c r="D300" s="341" t="s">
        <v>2289</v>
      </c>
      <c r="E300" s="339" t="s">
        <v>2290</v>
      </c>
      <c r="F300" s="341" t="s">
        <v>2291</v>
      </c>
      <c r="G300" s="341" t="s">
        <v>3484</v>
      </c>
      <c r="H300" s="341" t="s">
        <v>437</v>
      </c>
      <c r="I300" s="570">
        <v>246673.76</v>
      </c>
      <c r="J300" s="570">
        <v>49.2436</v>
      </c>
      <c r="K300" s="571">
        <f t="shared" si="28"/>
        <v>5009.255212860148</v>
      </c>
      <c r="L300" s="341">
        <v>60</v>
      </c>
      <c r="M300" s="343">
        <f t="shared" si="31"/>
        <v>4111.229333333334</v>
      </c>
      <c r="N300" s="344">
        <f ca="1" t="shared" si="29"/>
        <v>39</v>
      </c>
      <c r="O300" s="572">
        <f t="shared" si="30"/>
        <v>86335.81599999999</v>
      </c>
      <c r="P300" s="340" t="s">
        <v>2286</v>
      </c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</row>
    <row r="301" spans="2:46" s="3" customFormat="1" ht="54" customHeight="1">
      <c r="B301" s="355">
        <v>43461</v>
      </c>
      <c r="C301" s="340" t="s">
        <v>2292</v>
      </c>
      <c r="D301" s="341" t="s">
        <v>2293</v>
      </c>
      <c r="E301" s="339" t="s">
        <v>2294</v>
      </c>
      <c r="F301" s="341" t="s">
        <v>42</v>
      </c>
      <c r="G301" s="341" t="s">
        <v>2642</v>
      </c>
      <c r="H301" s="341" t="s">
        <v>437</v>
      </c>
      <c r="I301" s="570">
        <v>6608</v>
      </c>
      <c r="J301" s="570">
        <v>50.1504</v>
      </c>
      <c r="K301" s="571">
        <f t="shared" si="28"/>
        <v>131.76365492598265</v>
      </c>
      <c r="L301" s="341">
        <v>60</v>
      </c>
      <c r="M301" s="343">
        <f t="shared" si="31"/>
        <v>110.13333333333334</v>
      </c>
      <c r="N301" s="344">
        <f ca="1" t="shared" si="29"/>
        <v>37</v>
      </c>
      <c r="O301" s="572">
        <f t="shared" si="30"/>
        <v>2533.0666666666666</v>
      </c>
      <c r="P301" s="340" t="s">
        <v>1953</v>
      </c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</row>
    <row r="302" spans="2:46" s="3" customFormat="1" ht="46.5" customHeight="1">
      <c r="B302" s="355">
        <v>43461</v>
      </c>
      <c r="C302" s="340" t="s">
        <v>2292</v>
      </c>
      <c r="D302" s="341" t="s">
        <v>2295</v>
      </c>
      <c r="E302" s="339" t="s">
        <v>2294</v>
      </c>
      <c r="F302" s="341" t="s">
        <v>42</v>
      </c>
      <c r="G302" s="341" t="s">
        <v>2651</v>
      </c>
      <c r="H302" s="341" t="s">
        <v>437</v>
      </c>
      <c r="I302" s="570">
        <v>6608</v>
      </c>
      <c r="J302" s="570">
        <v>50.1504</v>
      </c>
      <c r="K302" s="571">
        <f t="shared" si="28"/>
        <v>131.76365492598265</v>
      </c>
      <c r="L302" s="341">
        <v>60</v>
      </c>
      <c r="M302" s="343">
        <f t="shared" si="31"/>
        <v>110.13333333333334</v>
      </c>
      <c r="N302" s="344">
        <f ca="1" t="shared" si="29"/>
        <v>37</v>
      </c>
      <c r="O302" s="572">
        <f t="shared" si="30"/>
        <v>2533.0666666666666</v>
      </c>
      <c r="P302" s="340" t="s">
        <v>1953</v>
      </c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</row>
    <row r="303" spans="2:46" s="3" customFormat="1" ht="36.75" customHeight="1">
      <c r="B303" s="355">
        <v>43465</v>
      </c>
      <c r="C303" s="340" t="s">
        <v>2296</v>
      </c>
      <c r="D303" s="341" t="s">
        <v>2297</v>
      </c>
      <c r="E303" s="339" t="s">
        <v>2298</v>
      </c>
      <c r="F303" s="355" t="s">
        <v>2299</v>
      </c>
      <c r="G303" s="341" t="s">
        <v>1835</v>
      </c>
      <c r="H303" s="341" t="s">
        <v>437</v>
      </c>
      <c r="I303" s="570">
        <v>26979.52</v>
      </c>
      <c r="J303" s="570">
        <v>50.1469</v>
      </c>
      <c r="K303" s="571">
        <f t="shared" si="28"/>
        <v>538.0097274208375</v>
      </c>
      <c r="L303" s="341">
        <v>60</v>
      </c>
      <c r="M303" s="343">
        <f t="shared" si="31"/>
        <v>449.65866666666665</v>
      </c>
      <c r="N303" s="344">
        <f ca="1" t="shared" si="29"/>
        <v>37</v>
      </c>
      <c r="O303" s="572">
        <f t="shared" si="30"/>
        <v>10342.149333333335</v>
      </c>
      <c r="P303" s="340" t="s">
        <v>2067</v>
      </c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</row>
    <row r="304" spans="2:46" s="3" customFormat="1" ht="51" customHeight="1">
      <c r="B304" s="355">
        <v>43465</v>
      </c>
      <c r="C304" s="340" t="s">
        <v>2296</v>
      </c>
      <c r="D304" s="341" t="s">
        <v>2300</v>
      </c>
      <c r="E304" s="339" t="s">
        <v>2301</v>
      </c>
      <c r="F304" s="355" t="s">
        <v>2302</v>
      </c>
      <c r="G304" s="566" t="s">
        <v>3600</v>
      </c>
      <c r="H304" s="341" t="s">
        <v>437</v>
      </c>
      <c r="I304" s="570">
        <v>27148.32</v>
      </c>
      <c r="J304" s="570">
        <v>50.1469</v>
      </c>
      <c r="K304" s="571">
        <f t="shared" si="28"/>
        <v>541.3758377885771</v>
      </c>
      <c r="L304" s="341">
        <v>60</v>
      </c>
      <c r="M304" s="343">
        <f t="shared" si="31"/>
        <v>452.472</v>
      </c>
      <c r="N304" s="344">
        <f ca="1" t="shared" si="29"/>
        <v>37</v>
      </c>
      <c r="O304" s="572">
        <f t="shared" si="30"/>
        <v>10406.856</v>
      </c>
      <c r="P304" s="340" t="s">
        <v>2067</v>
      </c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</row>
    <row r="305" spans="2:46" s="3" customFormat="1" ht="36" customHeight="1">
      <c r="B305" s="355">
        <v>43465</v>
      </c>
      <c r="C305" s="340" t="s">
        <v>2296</v>
      </c>
      <c r="D305" s="341" t="s">
        <v>2303</v>
      </c>
      <c r="E305" s="339" t="s">
        <v>2304</v>
      </c>
      <c r="F305" s="355" t="s">
        <v>2305</v>
      </c>
      <c r="G305" s="566" t="s">
        <v>3601</v>
      </c>
      <c r="H305" s="341" t="s">
        <v>437</v>
      </c>
      <c r="I305" s="570">
        <f>15973.22/3</f>
        <v>5324.406666666667</v>
      </c>
      <c r="J305" s="570">
        <v>50.1469</v>
      </c>
      <c r="K305" s="571">
        <f t="shared" si="28"/>
        <v>106.17618769388868</v>
      </c>
      <c r="L305" s="341">
        <v>60</v>
      </c>
      <c r="M305" s="343">
        <f t="shared" si="31"/>
        <v>88.74011111111112</v>
      </c>
      <c r="N305" s="344">
        <f ca="1" t="shared" si="29"/>
        <v>37</v>
      </c>
      <c r="O305" s="572">
        <f t="shared" si="30"/>
        <v>2041.0225555555553</v>
      </c>
      <c r="P305" s="340" t="s">
        <v>2067</v>
      </c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</row>
    <row r="306" spans="2:46" s="3" customFormat="1" ht="39" customHeight="1">
      <c r="B306" s="355">
        <v>43465</v>
      </c>
      <c r="C306" s="340" t="s">
        <v>2296</v>
      </c>
      <c r="D306" s="341" t="s">
        <v>2306</v>
      </c>
      <c r="E306" s="339" t="s">
        <v>2304</v>
      </c>
      <c r="F306" s="355" t="s">
        <v>2307</v>
      </c>
      <c r="G306" s="566" t="s">
        <v>3602</v>
      </c>
      <c r="H306" s="341" t="s">
        <v>437</v>
      </c>
      <c r="I306" s="570">
        <f>15973.22/3</f>
        <v>5324.406666666667</v>
      </c>
      <c r="J306" s="570">
        <v>50.1469</v>
      </c>
      <c r="K306" s="571">
        <f t="shared" si="28"/>
        <v>106.17618769388868</v>
      </c>
      <c r="L306" s="341">
        <v>60</v>
      </c>
      <c r="M306" s="343">
        <f t="shared" si="31"/>
        <v>88.74011111111112</v>
      </c>
      <c r="N306" s="344">
        <f ca="1" t="shared" si="29"/>
        <v>37</v>
      </c>
      <c r="O306" s="572">
        <f t="shared" si="30"/>
        <v>2041.0225555555553</v>
      </c>
      <c r="P306" s="340" t="s">
        <v>2067</v>
      </c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</row>
    <row r="307" spans="2:46" s="3" customFormat="1" ht="33.75" customHeight="1">
      <c r="B307" s="355">
        <v>43465</v>
      </c>
      <c r="C307" s="340" t="s">
        <v>2296</v>
      </c>
      <c r="D307" s="341" t="s">
        <v>2308</v>
      </c>
      <c r="E307" s="339" t="s">
        <v>2304</v>
      </c>
      <c r="F307" s="355" t="s">
        <v>2309</v>
      </c>
      <c r="G307" s="566" t="s">
        <v>2652</v>
      </c>
      <c r="H307" s="341" t="s">
        <v>437</v>
      </c>
      <c r="I307" s="570">
        <f>15973.22/3</f>
        <v>5324.406666666667</v>
      </c>
      <c r="J307" s="570">
        <v>50.1469</v>
      </c>
      <c r="K307" s="571">
        <f t="shared" si="28"/>
        <v>106.17618769388868</v>
      </c>
      <c r="L307" s="341">
        <v>60</v>
      </c>
      <c r="M307" s="343">
        <f t="shared" si="31"/>
        <v>88.74011111111112</v>
      </c>
      <c r="N307" s="344">
        <f ca="1" t="shared" si="29"/>
        <v>37</v>
      </c>
      <c r="O307" s="572">
        <f t="shared" si="30"/>
        <v>2041.0225555555553</v>
      </c>
      <c r="P307" s="340" t="s">
        <v>2067</v>
      </c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</row>
    <row r="308" spans="2:46" s="3" customFormat="1" ht="63" customHeight="1">
      <c r="B308" s="355">
        <v>43613</v>
      </c>
      <c r="C308" s="340" t="s">
        <v>2701</v>
      </c>
      <c r="D308" s="341" t="s">
        <v>2713</v>
      </c>
      <c r="E308" s="339" t="s">
        <v>2702</v>
      </c>
      <c r="F308" s="341" t="s">
        <v>3456</v>
      </c>
      <c r="G308" s="341" t="s">
        <v>3881</v>
      </c>
      <c r="H308" s="341" t="s">
        <v>437</v>
      </c>
      <c r="I308" s="353">
        <v>132913.64</v>
      </c>
      <c r="J308" s="353">
        <v>50.4721</v>
      </c>
      <c r="K308" s="354">
        <f t="shared" si="28"/>
        <v>2633.4081601518465</v>
      </c>
      <c r="L308" s="341">
        <v>36</v>
      </c>
      <c r="M308" s="343">
        <f t="shared" si="31"/>
        <v>3692.045555555556</v>
      </c>
      <c r="N308" s="344">
        <f ca="1" t="shared" si="29"/>
        <v>32</v>
      </c>
      <c r="O308" s="348">
        <f t="shared" si="30"/>
        <v>14768.182222222225</v>
      </c>
      <c r="P308" s="340" t="s">
        <v>2536</v>
      </c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</row>
    <row r="309" spans="2:46" s="3" customFormat="1" ht="39" customHeight="1">
      <c r="B309" s="355">
        <v>43613</v>
      </c>
      <c r="C309" s="340" t="s">
        <v>2703</v>
      </c>
      <c r="D309" s="341" t="s">
        <v>2714</v>
      </c>
      <c r="E309" s="339" t="s">
        <v>2704</v>
      </c>
      <c r="F309" s="341" t="s">
        <v>2705</v>
      </c>
      <c r="G309" s="341" t="s">
        <v>3859</v>
      </c>
      <c r="H309" s="341" t="s">
        <v>437</v>
      </c>
      <c r="I309" s="353">
        <v>29865</v>
      </c>
      <c r="J309" s="353">
        <v>50.4721</v>
      </c>
      <c r="K309" s="354">
        <f t="shared" si="28"/>
        <v>591.7130454250963</v>
      </c>
      <c r="L309" s="341">
        <v>36</v>
      </c>
      <c r="M309" s="343">
        <f t="shared" si="31"/>
        <v>829.5833333333334</v>
      </c>
      <c r="N309" s="344">
        <f ca="1" t="shared" si="29"/>
        <v>32</v>
      </c>
      <c r="O309" s="348">
        <f t="shared" si="30"/>
        <v>3318.333333333332</v>
      </c>
      <c r="P309" s="340" t="s">
        <v>273</v>
      </c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</row>
    <row r="310" spans="2:46" s="3" customFormat="1" ht="39.75" customHeight="1">
      <c r="B310" s="355">
        <v>43613</v>
      </c>
      <c r="C310" s="340" t="s">
        <v>2703</v>
      </c>
      <c r="D310" s="341" t="s">
        <v>2715</v>
      </c>
      <c r="E310" s="339" t="s">
        <v>2704</v>
      </c>
      <c r="F310" s="341" t="s">
        <v>2706</v>
      </c>
      <c r="G310" s="341" t="s">
        <v>3860</v>
      </c>
      <c r="H310" s="341" t="s">
        <v>437</v>
      </c>
      <c r="I310" s="353">
        <v>29865</v>
      </c>
      <c r="J310" s="353">
        <v>50.4721</v>
      </c>
      <c r="K310" s="354">
        <f t="shared" si="28"/>
        <v>591.7130454250963</v>
      </c>
      <c r="L310" s="341">
        <v>36</v>
      </c>
      <c r="M310" s="343">
        <f t="shared" si="31"/>
        <v>829.5833333333334</v>
      </c>
      <c r="N310" s="344">
        <f ca="1" t="shared" si="29"/>
        <v>32</v>
      </c>
      <c r="O310" s="348">
        <f t="shared" si="30"/>
        <v>3318.333333333332</v>
      </c>
      <c r="P310" s="340" t="s">
        <v>273</v>
      </c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</row>
    <row r="311" spans="2:46" s="3" customFormat="1" ht="55.5" customHeight="1">
      <c r="B311" s="355">
        <v>43613</v>
      </c>
      <c r="C311" s="340" t="s">
        <v>2703</v>
      </c>
      <c r="D311" s="341" t="s">
        <v>2716</v>
      </c>
      <c r="E311" s="339" t="s">
        <v>2704</v>
      </c>
      <c r="F311" s="341" t="s">
        <v>2707</v>
      </c>
      <c r="G311" s="341" t="s">
        <v>3880</v>
      </c>
      <c r="H311" s="341" t="s">
        <v>437</v>
      </c>
      <c r="I311" s="353">
        <v>29865</v>
      </c>
      <c r="J311" s="353">
        <v>50.4721</v>
      </c>
      <c r="K311" s="354">
        <f t="shared" si="28"/>
        <v>591.7130454250963</v>
      </c>
      <c r="L311" s="341">
        <v>36</v>
      </c>
      <c r="M311" s="343">
        <f t="shared" si="31"/>
        <v>829.5833333333334</v>
      </c>
      <c r="N311" s="344">
        <f ca="1" t="shared" si="29"/>
        <v>32</v>
      </c>
      <c r="O311" s="348">
        <f t="shared" si="30"/>
        <v>3318.333333333332</v>
      </c>
      <c r="P311" s="340" t="s">
        <v>273</v>
      </c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</row>
    <row r="312" spans="2:46" s="3" customFormat="1" ht="44.25" customHeight="1">
      <c r="B312" s="355">
        <v>43613</v>
      </c>
      <c r="C312" s="340" t="s">
        <v>2703</v>
      </c>
      <c r="D312" s="341" t="s">
        <v>2717</v>
      </c>
      <c r="E312" s="339" t="s">
        <v>2708</v>
      </c>
      <c r="F312" s="341" t="s">
        <v>3500</v>
      </c>
      <c r="G312" s="341" t="s">
        <v>517</v>
      </c>
      <c r="H312" s="341" t="s">
        <v>437</v>
      </c>
      <c r="I312" s="353">
        <f>23389.83+4210.17</f>
        <v>27600</v>
      </c>
      <c r="J312" s="353">
        <v>50.4721</v>
      </c>
      <c r="K312" s="354">
        <f t="shared" si="28"/>
        <v>546.8367672436851</v>
      </c>
      <c r="L312" s="341">
        <v>36</v>
      </c>
      <c r="M312" s="343">
        <f t="shared" si="31"/>
        <v>766.6666666666666</v>
      </c>
      <c r="N312" s="344">
        <f ca="1" t="shared" si="29"/>
        <v>32</v>
      </c>
      <c r="O312" s="348">
        <f t="shared" si="30"/>
        <v>3066.666666666668</v>
      </c>
      <c r="P312" s="340" t="s">
        <v>273</v>
      </c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</row>
    <row r="313" spans="2:46" s="3" customFormat="1" ht="36" customHeight="1">
      <c r="B313" s="355">
        <v>43613</v>
      </c>
      <c r="C313" s="340" t="s">
        <v>2703</v>
      </c>
      <c r="D313" s="341" t="s">
        <v>2718</v>
      </c>
      <c r="E313" s="339" t="s">
        <v>2708</v>
      </c>
      <c r="F313" s="341" t="s">
        <v>3498</v>
      </c>
      <c r="G313" s="341" t="s">
        <v>3499</v>
      </c>
      <c r="H313" s="341" t="s">
        <v>437</v>
      </c>
      <c r="I313" s="353">
        <f>23389.83+4210.17</f>
        <v>27600</v>
      </c>
      <c r="J313" s="353">
        <v>50.4721</v>
      </c>
      <c r="K313" s="354">
        <f t="shared" si="28"/>
        <v>546.8367672436851</v>
      </c>
      <c r="L313" s="341">
        <v>36</v>
      </c>
      <c r="M313" s="343">
        <f t="shared" si="31"/>
        <v>766.6666666666666</v>
      </c>
      <c r="N313" s="344">
        <f ca="1" t="shared" si="29"/>
        <v>32</v>
      </c>
      <c r="O313" s="348">
        <f t="shared" si="30"/>
        <v>3066.666666666668</v>
      </c>
      <c r="P313" s="340" t="s">
        <v>273</v>
      </c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</row>
    <row r="314" spans="2:46" s="3" customFormat="1" ht="49.5" customHeight="1">
      <c r="B314" s="355">
        <v>43625</v>
      </c>
      <c r="C314" s="340" t="s">
        <v>2709</v>
      </c>
      <c r="D314" s="341" t="s">
        <v>2719</v>
      </c>
      <c r="E314" s="339" t="s">
        <v>2710</v>
      </c>
      <c r="F314" s="341" t="s">
        <v>2711</v>
      </c>
      <c r="G314" s="341" t="s">
        <v>2712</v>
      </c>
      <c r="H314" s="341" t="s">
        <v>437</v>
      </c>
      <c r="I314" s="353">
        <v>27677.68</v>
      </c>
      <c r="J314" s="353">
        <v>50.5315</v>
      </c>
      <c r="K314" s="354">
        <f t="shared" si="28"/>
        <v>547.7312171615724</v>
      </c>
      <c r="L314" s="341">
        <v>36</v>
      </c>
      <c r="M314" s="343">
        <f t="shared" si="31"/>
        <v>768.8244444444445</v>
      </c>
      <c r="N314" s="344">
        <f ca="1" t="shared" si="29"/>
        <v>31</v>
      </c>
      <c r="O314" s="348">
        <f t="shared" si="30"/>
        <v>3844.1222222222204</v>
      </c>
      <c r="P314" s="340" t="s">
        <v>2536</v>
      </c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</row>
    <row r="315" spans="2:46" s="3" customFormat="1" ht="51.75" customHeight="1">
      <c r="B315" s="355">
        <v>43647</v>
      </c>
      <c r="C315" s="340" t="s">
        <v>3090</v>
      </c>
      <c r="D315" s="341" t="s">
        <v>3099</v>
      </c>
      <c r="E315" s="339" t="s">
        <v>3100</v>
      </c>
      <c r="F315" s="341" t="s">
        <v>3476</v>
      </c>
      <c r="G315" s="341" t="s">
        <v>517</v>
      </c>
      <c r="H315" s="341" t="s">
        <v>437</v>
      </c>
      <c r="I315" s="353">
        <v>40142.3</v>
      </c>
      <c r="J315" s="353">
        <v>50.7003</v>
      </c>
      <c r="K315" s="354">
        <f t="shared" si="28"/>
        <v>791.7566562722509</v>
      </c>
      <c r="L315" s="341">
        <v>36</v>
      </c>
      <c r="M315" s="343">
        <f t="shared" si="31"/>
        <v>1115.0638888888889</v>
      </c>
      <c r="N315" s="344">
        <f ca="1" t="shared" si="29"/>
        <v>31</v>
      </c>
      <c r="O315" s="348">
        <f t="shared" si="30"/>
        <v>5575.319444444445</v>
      </c>
      <c r="P315" s="340" t="s">
        <v>2286</v>
      </c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</row>
    <row r="316" spans="2:46" s="3" customFormat="1" ht="46.5" customHeight="1">
      <c r="B316" s="355">
        <v>43648</v>
      </c>
      <c r="C316" s="340" t="s">
        <v>3091</v>
      </c>
      <c r="D316" s="341" t="s">
        <v>3101</v>
      </c>
      <c r="E316" s="339" t="s">
        <v>3102</v>
      </c>
      <c r="F316" s="341">
        <v>100126020</v>
      </c>
      <c r="G316" s="341" t="s">
        <v>2611</v>
      </c>
      <c r="H316" s="341" t="s">
        <v>437</v>
      </c>
      <c r="I316" s="353">
        <v>14500.01</v>
      </c>
      <c r="J316" s="353">
        <v>50.7031</v>
      </c>
      <c r="K316" s="354">
        <f t="shared" si="28"/>
        <v>285.9787665842917</v>
      </c>
      <c r="L316" s="341">
        <v>36</v>
      </c>
      <c r="M316" s="343">
        <f t="shared" si="31"/>
        <v>402.77805555555557</v>
      </c>
      <c r="N316" s="344">
        <f ca="1" t="shared" si="29"/>
        <v>31</v>
      </c>
      <c r="O316" s="348">
        <f t="shared" si="30"/>
        <v>2013.8902777777785</v>
      </c>
      <c r="P316" s="340" t="s">
        <v>3055</v>
      </c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</row>
    <row r="317" spans="2:46" s="3" customFormat="1" ht="46.5" customHeight="1">
      <c r="B317" s="355">
        <v>43648</v>
      </c>
      <c r="C317" s="340" t="s">
        <v>3091</v>
      </c>
      <c r="D317" s="341" t="s">
        <v>3103</v>
      </c>
      <c r="E317" s="339" t="s">
        <v>3104</v>
      </c>
      <c r="F317" s="341" t="s">
        <v>3105</v>
      </c>
      <c r="G317" s="341" t="s">
        <v>2611</v>
      </c>
      <c r="H317" s="341" t="s">
        <v>437</v>
      </c>
      <c r="I317" s="353">
        <v>5200</v>
      </c>
      <c r="J317" s="353">
        <v>50.7031</v>
      </c>
      <c r="K317" s="354">
        <f t="shared" si="28"/>
        <v>102.55783176965511</v>
      </c>
      <c r="L317" s="341">
        <v>36</v>
      </c>
      <c r="M317" s="343">
        <f t="shared" si="31"/>
        <v>144.44444444444446</v>
      </c>
      <c r="N317" s="344">
        <f ca="1" t="shared" si="29"/>
        <v>31</v>
      </c>
      <c r="O317" s="348">
        <f t="shared" si="30"/>
        <v>722.2222222222217</v>
      </c>
      <c r="P317" s="340" t="s">
        <v>3055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</row>
    <row r="318" spans="2:46" s="3" customFormat="1" ht="46.5" customHeight="1">
      <c r="B318" s="355">
        <v>43648</v>
      </c>
      <c r="C318" s="340" t="s">
        <v>3091</v>
      </c>
      <c r="D318" s="341" t="s">
        <v>3106</v>
      </c>
      <c r="E318" s="339" t="s">
        <v>3107</v>
      </c>
      <c r="F318" s="341" t="s">
        <v>3108</v>
      </c>
      <c r="G318" s="341" t="s">
        <v>3603</v>
      </c>
      <c r="H318" s="341" t="s">
        <v>437</v>
      </c>
      <c r="I318" s="353">
        <v>34500</v>
      </c>
      <c r="J318" s="353">
        <v>50.7031</v>
      </c>
      <c r="K318" s="354">
        <f t="shared" si="28"/>
        <v>680.4317684717503</v>
      </c>
      <c r="L318" s="341">
        <v>36</v>
      </c>
      <c r="M318" s="343">
        <f t="shared" si="31"/>
        <v>958.3333333333334</v>
      </c>
      <c r="N318" s="344">
        <f ca="1" t="shared" si="29"/>
        <v>31</v>
      </c>
      <c r="O318" s="348">
        <f t="shared" si="30"/>
        <v>4791.666666666664</v>
      </c>
      <c r="P318" s="340" t="s">
        <v>3055</v>
      </c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</row>
    <row r="319" spans="2:46" s="3" customFormat="1" ht="52.5" customHeight="1">
      <c r="B319" s="355">
        <v>43648</v>
      </c>
      <c r="C319" s="340" t="s">
        <v>3091</v>
      </c>
      <c r="D319" s="341" t="s">
        <v>3109</v>
      </c>
      <c r="E319" s="339" t="s">
        <v>3107</v>
      </c>
      <c r="F319" s="341" t="s">
        <v>3110</v>
      </c>
      <c r="G319" s="341" t="s">
        <v>3111</v>
      </c>
      <c r="H319" s="341" t="s">
        <v>437</v>
      </c>
      <c r="I319" s="353">
        <v>34500</v>
      </c>
      <c r="J319" s="353">
        <v>50.7031</v>
      </c>
      <c r="K319" s="354">
        <f t="shared" si="28"/>
        <v>680.4317684717503</v>
      </c>
      <c r="L319" s="341">
        <v>36</v>
      </c>
      <c r="M319" s="343">
        <f t="shared" si="31"/>
        <v>958.3333333333334</v>
      </c>
      <c r="N319" s="344">
        <f ca="1" t="shared" si="29"/>
        <v>31</v>
      </c>
      <c r="O319" s="348">
        <f t="shared" si="30"/>
        <v>4791.666666666664</v>
      </c>
      <c r="P319" s="340" t="s">
        <v>3055</v>
      </c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</row>
    <row r="320" spans="2:46" s="3" customFormat="1" ht="46.5" customHeight="1">
      <c r="B320" s="355">
        <v>43648</v>
      </c>
      <c r="C320" s="340" t="s">
        <v>3091</v>
      </c>
      <c r="D320" s="341" t="s">
        <v>3112</v>
      </c>
      <c r="E320" s="339" t="s">
        <v>3113</v>
      </c>
      <c r="F320" s="341" t="s">
        <v>3114</v>
      </c>
      <c r="G320" s="341" t="s">
        <v>1828</v>
      </c>
      <c r="H320" s="341" t="s">
        <v>437</v>
      </c>
      <c r="I320" s="353">
        <v>23500</v>
      </c>
      <c r="J320" s="353">
        <v>50.7031</v>
      </c>
      <c r="K320" s="354">
        <f t="shared" si="28"/>
        <v>463.4825089590183</v>
      </c>
      <c r="L320" s="341">
        <v>36</v>
      </c>
      <c r="M320" s="343">
        <f t="shared" si="31"/>
        <v>652.7777777777778</v>
      </c>
      <c r="N320" s="344">
        <f ca="1" t="shared" si="29"/>
        <v>31</v>
      </c>
      <c r="O320" s="348">
        <f t="shared" si="30"/>
        <v>3263.888888888887</v>
      </c>
      <c r="P320" s="340" t="s">
        <v>3055</v>
      </c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</row>
    <row r="321" spans="2:46" s="3" customFormat="1" ht="46.5" customHeight="1">
      <c r="B321" s="355">
        <v>43713</v>
      </c>
      <c r="C321" s="340" t="s">
        <v>3299</v>
      </c>
      <c r="D321" s="341" t="s">
        <v>3300</v>
      </c>
      <c r="E321" s="339" t="s">
        <v>3301</v>
      </c>
      <c r="F321" s="341" t="s">
        <v>42</v>
      </c>
      <c r="G321" s="341" t="s">
        <v>3274</v>
      </c>
      <c r="H321" s="341" t="s">
        <v>3275</v>
      </c>
      <c r="I321" s="353">
        <v>13540.5</v>
      </c>
      <c r="J321" s="353">
        <v>51.2017</v>
      </c>
      <c r="K321" s="354">
        <f>+I321/J321</f>
        <v>264.45410992213147</v>
      </c>
      <c r="L321" s="341">
        <v>36</v>
      </c>
      <c r="M321" s="343">
        <f>IF(AND(I321&lt;&gt;0,L321&lt;&gt;0),I321/L321,0)</f>
        <v>376.125</v>
      </c>
      <c r="N321" s="344">
        <f ca="1" t="shared" si="29"/>
        <v>28</v>
      </c>
      <c r="O321" s="348">
        <f>IF(OR(I321=0,L321=0,N321=0),0,I321-(M321*N321))</f>
        <v>3009</v>
      </c>
      <c r="P321" s="340" t="s">
        <v>3302</v>
      </c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</row>
    <row r="322" spans="2:46" s="3" customFormat="1" ht="46.5" customHeight="1">
      <c r="B322" s="355">
        <v>43713</v>
      </c>
      <c r="C322" s="340" t="s">
        <v>3299</v>
      </c>
      <c r="D322" s="341" t="s">
        <v>3303</v>
      </c>
      <c r="E322" s="339" t="s">
        <v>3304</v>
      </c>
      <c r="F322" s="341" t="s">
        <v>42</v>
      </c>
      <c r="G322" s="341" t="s">
        <v>3274</v>
      </c>
      <c r="H322" s="341" t="s">
        <v>3275</v>
      </c>
      <c r="I322" s="353">
        <v>13365.27</v>
      </c>
      <c r="J322" s="353">
        <v>51.2017</v>
      </c>
      <c r="K322" s="354">
        <f>+I322/J322</f>
        <v>261.03176261725685</v>
      </c>
      <c r="L322" s="341">
        <v>36</v>
      </c>
      <c r="M322" s="343">
        <f>IF(AND(I322&lt;&gt;0,L322&lt;&gt;0),I322/L322,0)</f>
        <v>371.2575</v>
      </c>
      <c r="N322" s="344">
        <f ca="1" t="shared" si="29"/>
        <v>28</v>
      </c>
      <c r="O322" s="348">
        <f>IF(OR(I322=0,L322=0,N322=0),0,I322-(M322*N322))</f>
        <v>2970.0600000000013</v>
      </c>
      <c r="P322" s="340" t="s">
        <v>3302</v>
      </c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</row>
    <row r="323" spans="2:46" s="3" customFormat="1" ht="46.5" customHeight="1">
      <c r="B323" s="355">
        <v>43747</v>
      </c>
      <c r="C323" s="340" t="s">
        <v>3092</v>
      </c>
      <c r="D323" s="341" t="s">
        <v>3115</v>
      </c>
      <c r="E323" s="339" t="s">
        <v>3116</v>
      </c>
      <c r="F323" s="341" t="s">
        <v>42</v>
      </c>
      <c r="G323" s="341" t="s">
        <v>3604</v>
      </c>
      <c r="H323" s="341" t="s">
        <v>437</v>
      </c>
      <c r="I323" s="353">
        <v>6920.7</v>
      </c>
      <c r="J323" s="353">
        <v>52.6642</v>
      </c>
      <c r="K323" s="354">
        <f t="shared" si="28"/>
        <v>131.4118509347906</v>
      </c>
      <c r="L323" s="341">
        <v>36</v>
      </c>
      <c r="M323" s="343">
        <f t="shared" si="31"/>
        <v>192.24166666666667</v>
      </c>
      <c r="N323" s="344">
        <f ca="1" t="shared" si="29"/>
        <v>27</v>
      </c>
      <c r="O323" s="348">
        <f t="shared" si="30"/>
        <v>1730.1749999999993</v>
      </c>
      <c r="P323" s="340" t="s">
        <v>3117</v>
      </c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</row>
    <row r="324" spans="2:46" s="3" customFormat="1" ht="38.25" customHeight="1">
      <c r="B324" s="355">
        <v>43747</v>
      </c>
      <c r="C324" s="340" t="s">
        <v>3092</v>
      </c>
      <c r="D324" s="341" t="s">
        <v>3118</v>
      </c>
      <c r="E324" s="339" t="s">
        <v>3116</v>
      </c>
      <c r="F324" s="341" t="s">
        <v>42</v>
      </c>
      <c r="G324" s="341" t="s">
        <v>3605</v>
      </c>
      <c r="H324" s="341" t="s">
        <v>437</v>
      </c>
      <c r="I324" s="353">
        <v>6920.7</v>
      </c>
      <c r="J324" s="353">
        <v>52.6642</v>
      </c>
      <c r="K324" s="354">
        <f t="shared" si="28"/>
        <v>131.4118509347906</v>
      </c>
      <c r="L324" s="341">
        <v>36</v>
      </c>
      <c r="M324" s="343">
        <f t="shared" si="31"/>
        <v>192.24166666666667</v>
      </c>
      <c r="N324" s="344">
        <f ca="1" t="shared" si="29"/>
        <v>27</v>
      </c>
      <c r="O324" s="348">
        <f t="shared" si="30"/>
        <v>1730.1749999999993</v>
      </c>
      <c r="P324" s="340" t="s">
        <v>3117</v>
      </c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</row>
    <row r="325" spans="2:46" s="3" customFormat="1" ht="46.5" customHeight="1">
      <c r="B325" s="355">
        <v>43747</v>
      </c>
      <c r="C325" s="340" t="s">
        <v>3092</v>
      </c>
      <c r="D325" s="341" t="s">
        <v>3119</v>
      </c>
      <c r="E325" s="339" t="s">
        <v>3116</v>
      </c>
      <c r="F325" s="341" t="s">
        <v>42</v>
      </c>
      <c r="G325" s="341" t="s">
        <v>3606</v>
      </c>
      <c r="H325" s="341" t="s">
        <v>437</v>
      </c>
      <c r="I325" s="353">
        <v>6920.7</v>
      </c>
      <c r="J325" s="353">
        <v>52.6642</v>
      </c>
      <c r="K325" s="354">
        <f t="shared" si="28"/>
        <v>131.4118509347906</v>
      </c>
      <c r="L325" s="341">
        <v>36</v>
      </c>
      <c r="M325" s="343">
        <f t="shared" si="31"/>
        <v>192.24166666666667</v>
      </c>
      <c r="N325" s="344">
        <f ca="1" t="shared" si="29"/>
        <v>27</v>
      </c>
      <c r="O325" s="348">
        <f t="shared" si="30"/>
        <v>1730.1749999999993</v>
      </c>
      <c r="P325" s="340" t="s">
        <v>3117</v>
      </c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</row>
    <row r="326" spans="2:46" s="3" customFormat="1" ht="46.5" customHeight="1">
      <c r="B326" s="355">
        <v>43747</v>
      </c>
      <c r="C326" s="340" t="s">
        <v>3092</v>
      </c>
      <c r="D326" s="341" t="s">
        <v>3121</v>
      </c>
      <c r="E326" s="339" t="s">
        <v>3116</v>
      </c>
      <c r="F326" s="341" t="s">
        <v>42</v>
      </c>
      <c r="G326" s="341" t="s">
        <v>2643</v>
      </c>
      <c r="H326" s="341" t="s">
        <v>437</v>
      </c>
      <c r="I326" s="353">
        <v>6920.7</v>
      </c>
      <c r="J326" s="353">
        <v>52.6642</v>
      </c>
      <c r="K326" s="354">
        <f t="shared" si="28"/>
        <v>131.4118509347906</v>
      </c>
      <c r="L326" s="341">
        <v>36</v>
      </c>
      <c r="M326" s="343">
        <f t="shared" si="31"/>
        <v>192.24166666666667</v>
      </c>
      <c r="N326" s="344">
        <f ca="1" t="shared" si="29"/>
        <v>27</v>
      </c>
      <c r="O326" s="348">
        <f t="shared" si="30"/>
        <v>1730.1749999999993</v>
      </c>
      <c r="P326" s="340" t="s">
        <v>3117</v>
      </c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</row>
    <row r="327" spans="2:46" s="3" customFormat="1" ht="46.5" customHeight="1">
      <c r="B327" s="355">
        <v>43747</v>
      </c>
      <c r="C327" s="340" t="s">
        <v>3092</v>
      </c>
      <c r="D327" s="341" t="s">
        <v>3122</v>
      </c>
      <c r="E327" s="339" t="s">
        <v>3116</v>
      </c>
      <c r="F327" s="341" t="s">
        <v>42</v>
      </c>
      <c r="G327" s="341" t="s">
        <v>3600</v>
      </c>
      <c r="H327" s="341" t="s">
        <v>437</v>
      </c>
      <c r="I327" s="353">
        <v>6920.7</v>
      </c>
      <c r="J327" s="353">
        <v>52.6642</v>
      </c>
      <c r="K327" s="354">
        <f t="shared" si="28"/>
        <v>131.4118509347906</v>
      </c>
      <c r="L327" s="341">
        <v>36</v>
      </c>
      <c r="M327" s="343">
        <f t="shared" si="31"/>
        <v>192.24166666666667</v>
      </c>
      <c r="N327" s="344">
        <f ca="1" t="shared" si="29"/>
        <v>27</v>
      </c>
      <c r="O327" s="348">
        <f t="shared" si="30"/>
        <v>1730.1749999999993</v>
      </c>
      <c r="P327" s="340" t="s">
        <v>3117</v>
      </c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</row>
    <row r="328" spans="2:46" s="3" customFormat="1" ht="43.5" customHeight="1">
      <c r="B328" s="355">
        <v>43747</v>
      </c>
      <c r="C328" s="340" t="s">
        <v>3092</v>
      </c>
      <c r="D328" s="341" t="s">
        <v>3123</v>
      </c>
      <c r="E328" s="339" t="s">
        <v>3124</v>
      </c>
      <c r="F328" s="341" t="s">
        <v>42</v>
      </c>
      <c r="G328" s="341" t="s">
        <v>3125</v>
      </c>
      <c r="H328" s="341" t="s">
        <v>437</v>
      </c>
      <c r="I328" s="353">
        <v>5575.5</v>
      </c>
      <c r="J328" s="353">
        <v>52.6642</v>
      </c>
      <c r="K328" s="354">
        <f t="shared" si="28"/>
        <v>105.86888246664716</v>
      </c>
      <c r="L328" s="341">
        <v>36</v>
      </c>
      <c r="M328" s="343">
        <f t="shared" si="31"/>
        <v>154.875</v>
      </c>
      <c r="N328" s="344">
        <f ca="1" t="shared" si="29"/>
        <v>27</v>
      </c>
      <c r="O328" s="348">
        <f t="shared" si="30"/>
        <v>1393.875</v>
      </c>
      <c r="P328" s="340" t="s">
        <v>3117</v>
      </c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</row>
    <row r="329" spans="2:46" s="3" customFormat="1" ht="46.5" customHeight="1">
      <c r="B329" s="355">
        <v>43747</v>
      </c>
      <c r="C329" s="340" t="s">
        <v>3092</v>
      </c>
      <c r="D329" s="341" t="s">
        <v>3126</v>
      </c>
      <c r="E329" s="339" t="s">
        <v>3124</v>
      </c>
      <c r="F329" s="341" t="s">
        <v>42</v>
      </c>
      <c r="G329" s="341" t="s">
        <v>3125</v>
      </c>
      <c r="H329" s="341" t="s">
        <v>437</v>
      </c>
      <c r="I329" s="353">
        <v>5575.5</v>
      </c>
      <c r="J329" s="353">
        <v>52.6642</v>
      </c>
      <c r="K329" s="354">
        <f t="shared" si="28"/>
        <v>105.86888246664716</v>
      </c>
      <c r="L329" s="341">
        <v>36</v>
      </c>
      <c r="M329" s="343">
        <f t="shared" si="31"/>
        <v>154.875</v>
      </c>
      <c r="N329" s="344">
        <f ca="1" t="shared" si="29"/>
        <v>27</v>
      </c>
      <c r="O329" s="348">
        <f t="shared" si="30"/>
        <v>1393.875</v>
      </c>
      <c r="P329" s="340" t="s">
        <v>3117</v>
      </c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</row>
    <row r="330" spans="2:46" s="3" customFormat="1" ht="46.5" customHeight="1">
      <c r="B330" s="355">
        <v>43747</v>
      </c>
      <c r="C330" s="340" t="s">
        <v>3092</v>
      </c>
      <c r="D330" s="341" t="s">
        <v>3127</v>
      </c>
      <c r="E330" s="339" t="s">
        <v>3124</v>
      </c>
      <c r="F330" s="341" t="s">
        <v>42</v>
      </c>
      <c r="G330" s="341" t="s">
        <v>3120</v>
      </c>
      <c r="H330" s="341" t="s">
        <v>437</v>
      </c>
      <c r="I330" s="353">
        <v>5575.5</v>
      </c>
      <c r="J330" s="353">
        <v>52.6642</v>
      </c>
      <c r="K330" s="354">
        <f t="shared" si="28"/>
        <v>105.86888246664716</v>
      </c>
      <c r="L330" s="341">
        <v>36</v>
      </c>
      <c r="M330" s="343">
        <f t="shared" si="31"/>
        <v>154.875</v>
      </c>
      <c r="N330" s="344">
        <f ca="1" t="shared" si="29"/>
        <v>27</v>
      </c>
      <c r="O330" s="348">
        <f t="shared" si="30"/>
        <v>1393.875</v>
      </c>
      <c r="P330" s="340" t="s">
        <v>3117</v>
      </c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</row>
    <row r="331" spans="2:46" s="3" customFormat="1" ht="46.5" customHeight="1">
      <c r="B331" s="355">
        <v>43747</v>
      </c>
      <c r="C331" s="340" t="s">
        <v>3092</v>
      </c>
      <c r="D331" s="341" t="s">
        <v>3128</v>
      </c>
      <c r="E331" s="339" t="s">
        <v>3124</v>
      </c>
      <c r="F331" s="341" t="s">
        <v>42</v>
      </c>
      <c r="G331" s="341" t="s">
        <v>3120</v>
      </c>
      <c r="H331" s="341" t="s">
        <v>437</v>
      </c>
      <c r="I331" s="353">
        <v>5575.5</v>
      </c>
      <c r="J331" s="353">
        <v>52.6642</v>
      </c>
      <c r="K331" s="354">
        <f t="shared" si="28"/>
        <v>105.86888246664716</v>
      </c>
      <c r="L331" s="341">
        <v>36</v>
      </c>
      <c r="M331" s="343">
        <f t="shared" si="31"/>
        <v>154.875</v>
      </c>
      <c r="N331" s="344">
        <f ca="1" t="shared" si="29"/>
        <v>27</v>
      </c>
      <c r="O331" s="348">
        <f t="shared" si="30"/>
        <v>1393.875</v>
      </c>
      <c r="P331" s="340" t="s">
        <v>3117</v>
      </c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</row>
    <row r="332" spans="2:46" s="3" customFormat="1" ht="38.25" customHeight="1">
      <c r="B332" s="355">
        <v>43747</v>
      </c>
      <c r="C332" s="340" t="s">
        <v>3092</v>
      </c>
      <c r="D332" s="341" t="s">
        <v>3129</v>
      </c>
      <c r="E332" s="339" t="s">
        <v>3130</v>
      </c>
      <c r="F332" s="341" t="s">
        <v>42</v>
      </c>
      <c r="G332" s="341" t="s">
        <v>3607</v>
      </c>
      <c r="H332" s="341" t="s">
        <v>437</v>
      </c>
      <c r="I332" s="353">
        <v>12478.5</v>
      </c>
      <c r="J332" s="353">
        <v>52.6642</v>
      </c>
      <c r="K332" s="354">
        <f t="shared" si="28"/>
        <v>236.94464171106748</v>
      </c>
      <c r="L332" s="341">
        <v>36</v>
      </c>
      <c r="M332" s="343">
        <f t="shared" si="31"/>
        <v>346.625</v>
      </c>
      <c r="N332" s="344">
        <f ca="1" t="shared" si="29"/>
        <v>27</v>
      </c>
      <c r="O332" s="348">
        <f t="shared" si="30"/>
        <v>3119.625</v>
      </c>
      <c r="P332" s="340" t="s">
        <v>3117</v>
      </c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</row>
    <row r="333" spans="2:46" s="3" customFormat="1" ht="41.25" customHeight="1">
      <c r="B333" s="355">
        <v>43747</v>
      </c>
      <c r="C333" s="340" t="s">
        <v>3092</v>
      </c>
      <c r="D333" s="341" t="s">
        <v>3131</v>
      </c>
      <c r="E333" s="339" t="s">
        <v>3130</v>
      </c>
      <c r="F333" s="341" t="s">
        <v>42</v>
      </c>
      <c r="G333" s="341" t="s">
        <v>3608</v>
      </c>
      <c r="H333" s="341" t="s">
        <v>437</v>
      </c>
      <c r="I333" s="353">
        <v>12478.5</v>
      </c>
      <c r="J333" s="353">
        <v>52.6642</v>
      </c>
      <c r="K333" s="354">
        <f t="shared" si="28"/>
        <v>236.94464171106748</v>
      </c>
      <c r="L333" s="341">
        <v>36</v>
      </c>
      <c r="M333" s="343">
        <f t="shared" si="31"/>
        <v>346.625</v>
      </c>
      <c r="N333" s="344">
        <f ca="1" t="shared" si="29"/>
        <v>27</v>
      </c>
      <c r="O333" s="348">
        <f t="shared" si="30"/>
        <v>3119.625</v>
      </c>
      <c r="P333" s="340" t="s">
        <v>3117</v>
      </c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</row>
    <row r="334" spans="2:46" s="3" customFormat="1" ht="45" customHeight="1">
      <c r="B334" s="355">
        <v>43747</v>
      </c>
      <c r="C334" s="340" t="s">
        <v>3092</v>
      </c>
      <c r="D334" s="341" t="s">
        <v>3132</v>
      </c>
      <c r="E334" s="339" t="s">
        <v>3133</v>
      </c>
      <c r="F334" s="341" t="s">
        <v>42</v>
      </c>
      <c r="G334" s="341" t="s">
        <v>3609</v>
      </c>
      <c r="H334" s="341" t="s">
        <v>437</v>
      </c>
      <c r="I334" s="353">
        <v>8850</v>
      </c>
      <c r="J334" s="353">
        <v>52.6642</v>
      </c>
      <c r="K334" s="354">
        <f t="shared" si="28"/>
        <v>168.04584518515423</v>
      </c>
      <c r="L334" s="341">
        <v>36</v>
      </c>
      <c r="M334" s="343">
        <f t="shared" si="31"/>
        <v>245.83333333333334</v>
      </c>
      <c r="N334" s="344">
        <f ca="1" t="shared" si="29"/>
        <v>27</v>
      </c>
      <c r="O334" s="348">
        <f t="shared" si="30"/>
        <v>2212.5</v>
      </c>
      <c r="P334" s="340" t="s">
        <v>3117</v>
      </c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</row>
    <row r="335" spans="2:46" s="3" customFormat="1" ht="42" customHeight="1">
      <c r="B335" s="355">
        <v>43747</v>
      </c>
      <c r="C335" s="340" t="s">
        <v>3092</v>
      </c>
      <c r="D335" s="341" t="s">
        <v>3134</v>
      </c>
      <c r="E335" s="339" t="s">
        <v>3133</v>
      </c>
      <c r="F335" s="341" t="s">
        <v>42</v>
      </c>
      <c r="G335" s="341" t="s">
        <v>81</v>
      </c>
      <c r="H335" s="341" t="s">
        <v>437</v>
      </c>
      <c r="I335" s="353">
        <v>8850</v>
      </c>
      <c r="J335" s="353">
        <v>52.6642</v>
      </c>
      <c r="K335" s="354">
        <f t="shared" si="28"/>
        <v>168.04584518515423</v>
      </c>
      <c r="L335" s="341">
        <v>36</v>
      </c>
      <c r="M335" s="343">
        <f t="shared" si="31"/>
        <v>245.83333333333334</v>
      </c>
      <c r="N335" s="344">
        <f ca="1" t="shared" si="29"/>
        <v>27</v>
      </c>
      <c r="O335" s="348">
        <f t="shared" si="30"/>
        <v>2212.5</v>
      </c>
      <c r="P335" s="340" t="s">
        <v>3117</v>
      </c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</row>
    <row r="336" spans="2:46" s="3" customFormat="1" ht="39" customHeight="1">
      <c r="B336" s="355">
        <v>43747</v>
      </c>
      <c r="C336" s="340" t="s">
        <v>3092</v>
      </c>
      <c r="D336" s="341" t="s">
        <v>3135</v>
      </c>
      <c r="E336" s="339" t="s">
        <v>3136</v>
      </c>
      <c r="F336" s="341" t="s">
        <v>42</v>
      </c>
      <c r="G336" s="341" t="s">
        <v>3011</v>
      </c>
      <c r="H336" s="341" t="s">
        <v>437</v>
      </c>
      <c r="I336" s="353">
        <v>5664</v>
      </c>
      <c r="J336" s="353">
        <v>52.6642</v>
      </c>
      <c r="K336" s="354">
        <f t="shared" si="28"/>
        <v>107.54934091849871</v>
      </c>
      <c r="L336" s="341">
        <v>36</v>
      </c>
      <c r="M336" s="343">
        <f t="shared" si="31"/>
        <v>157.33333333333334</v>
      </c>
      <c r="N336" s="344">
        <f ca="1" t="shared" si="29"/>
        <v>27</v>
      </c>
      <c r="O336" s="348">
        <f t="shared" si="30"/>
        <v>1416</v>
      </c>
      <c r="P336" s="340" t="s">
        <v>3117</v>
      </c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</row>
    <row r="337" spans="2:46" s="3" customFormat="1" ht="51.75" customHeight="1">
      <c r="B337" s="355">
        <v>43747</v>
      </c>
      <c r="C337" s="340" t="s">
        <v>3092</v>
      </c>
      <c r="D337" s="341" t="s">
        <v>3137</v>
      </c>
      <c r="E337" s="339" t="s">
        <v>3138</v>
      </c>
      <c r="F337" s="341" t="s">
        <v>42</v>
      </c>
      <c r="G337" s="341" t="s">
        <v>3139</v>
      </c>
      <c r="H337" s="341" t="s">
        <v>437</v>
      </c>
      <c r="I337" s="353">
        <v>5664</v>
      </c>
      <c r="J337" s="353">
        <v>52.6642</v>
      </c>
      <c r="K337" s="354">
        <f t="shared" si="28"/>
        <v>107.54934091849871</v>
      </c>
      <c r="L337" s="341">
        <v>36</v>
      </c>
      <c r="M337" s="343">
        <f t="shared" si="31"/>
        <v>157.33333333333334</v>
      </c>
      <c r="N337" s="344">
        <f ca="1" t="shared" si="29"/>
        <v>27</v>
      </c>
      <c r="O337" s="348">
        <f t="shared" si="30"/>
        <v>1416</v>
      </c>
      <c r="P337" s="340" t="s">
        <v>3117</v>
      </c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</row>
    <row r="338" spans="2:46" s="3" customFormat="1" ht="57" customHeight="1">
      <c r="B338" s="355">
        <v>43747</v>
      </c>
      <c r="C338" s="340" t="s">
        <v>3092</v>
      </c>
      <c r="D338" s="341" t="s">
        <v>3140</v>
      </c>
      <c r="E338" s="339" t="s">
        <v>3138</v>
      </c>
      <c r="F338" s="341" t="s">
        <v>42</v>
      </c>
      <c r="G338" s="341" t="s">
        <v>3125</v>
      </c>
      <c r="H338" s="341" t="s">
        <v>437</v>
      </c>
      <c r="I338" s="353">
        <v>5664</v>
      </c>
      <c r="J338" s="353">
        <v>52.6642</v>
      </c>
      <c r="K338" s="354">
        <f t="shared" si="28"/>
        <v>107.54934091849871</v>
      </c>
      <c r="L338" s="341">
        <v>36</v>
      </c>
      <c r="M338" s="343">
        <f t="shared" si="31"/>
        <v>157.33333333333334</v>
      </c>
      <c r="N338" s="344">
        <f ca="1" t="shared" si="29"/>
        <v>27</v>
      </c>
      <c r="O338" s="348">
        <f t="shared" si="30"/>
        <v>1416</v>
      </c>
      <c r="P338" s="340" t="s">
        <v>3117</v>
      </c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</row>
    <row r="339" spans="2:46" s="3" customFormat="1" ht="51.75" customHeight="1">
      <c r="B339" s="355">
        <v>43747</v>
      </c>
      <c r="C339" s="340" t="s">
        <v>3092</v>
      </c>
      <c r="D339" s="341" t="s">
        <v>3141</v>
      </c>
      <c r="E339" s="339" t="s">
        <v>3138</v>
      </c>
      <c r="F339" s="341" t="s">
        <v>42</v>
      </c>
      <c r="G339" s="341" t="s">
        <v>2648</v>
      </c>
      <c r="H339" s="341" t="s">
        <v>437</v>
      </c>
      <c r="I339" s="353">
        <v>5664</v>
      </c>
      <c r="J339" s="353">
        <v>52.6642</v>
      </c>
      <c r="K339" s="354">
        <f t="shared" si="28"/>
        <v>107.54934091849871</v>
      </c>
      <c r="L339" s="341">
        <v>36</v>
      </c>
      <c r="M339" s="343">
        <f t="shared" si="31"/>
        <v>157.33333333333334</v>
      </c>
      <c r="N339" s="344">
        <f ca="1" t="shared" si="29"/>
        <v>27</v>
      </c>
      <c r="O339" s="348">
        <f t="shared" si="30"/>
        <v>1416</v>
      </c>
      <c r="P339" s="340" t="s">
        <v>3117</v>
      </c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</row>
    <row r="340" spans="2:46" s="3" customFormat="1" ht="51.75" customHeight="1">
      <c r="B340" s="355">
        <v>43747</v>
      </c>
      <c r="C340" s="340" t="s">
        <v>3092</v>
      </c>
      <c r="D340" s="341" t="s">
        <v>3142</v>
      </c>
      <c r="E340" s="339" t="s">
        <v>3138</v>
      </c>
      <c r="F340" s="341" t="s">
        <v>42</v>
      </c>
      <c r="G340" s="341" t="s">
        <v>3143</v>
      </c>
      <c r="H340" s="341" t="s">
        <v>437</v>
      </c>
      <c r="I340" s="353">
        <v>5664</v>
      </c>
      <c r="J340" s="353">
        <v>52.6642</v>
      </c>
      <c r="K340" s="354">
        <f t="shared" si="28"/>
        <v>107.54934091849871</v>
      </c>
      <c r="L340" s="341">
        <v>36</v>
      </c>
      <c r="M340" s="343">
        <f t="shared" si="31"/>
        <v>157.33333333333334</v>
      </c>
      <c r="N340" s="344">
        <f ca="1" t="shared" si="29"/>
        <v>27</v>
      </c>
      <c r="O340" s="348">
        <f t="shared" si="30"/>
        <v>1416</v>
      </c>
      <c r="P340" s="340" t="s">
        <v>3117</v>
      </c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</row>
    <row r="341" spans="2:46" s="3" customFormat="1" ht="52.5" customHeight="1">
      <c r="B341" s="355">
        <v>43747</v>
      </c>
      <c r="C341" s="340" t="s">
        <v>3092</v>
      </c>
      <c r="D341" s="341" t="s">
        <v>3144</v>
      </c>
      <c r="E341" s="339" t="s">
        <v>3138</v>
      </c>
      <c r="F341" s="341" t="s">
        <v>42</v>
      </c>
      <c r="G341" s="341" t="s">
        <v>3111</v>
      </c>
      <c r="H341" s="341" t="s">
        <v>437</v>
      </c>
      <c r="I341" s="353">
        <v>5664</v>
      </c>
      <c r="J341" s="353">
        <v>52.6642</v>
      </c>
      <c r="K341" s="354">
        <f t="shared" si="28"/>
        <v>107.54934091849871</v>
      </c>
      <c r="L341" s="341">
        <v>36</v>
      </c>
      <c r="M341" s="343">
        <f t="shared" si="31"/>
        <v>157.33333333333334</v>
      </c>
      <c r="N341" s="344">
        <f ca="1" t="shared" si="29"/>
        <v>27</v>
      </c>
      <c r="O341" s="348">
        <f t="shared" si="30"/>
        <v>1416</v>
      </c>
      <c r="P341" s="340" t="s">
        <v>3117</v>
      </c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</row>
    <row r="342" spans="2:46" s="3" customFormat="1" ht="51" customHeight="1">
      <c r="B342" s="355">
        <v>43747</v>
      </c>
      <c r="C342" s="340" t="s">
        <v>3092</v>
      </c>
      <c r="D342" s="341" t="s">
        <v>3145</v>
      </c>
      <c r="E342" s="339" t="s">
        <v>3138</v>
      </c>
      <c r="F342" s="341" t="s">
        <v>42</v>
      </c>
      <c r="G342" s="341" t="s">
        <v>3146</v>
      </c>
      <c r="H342" s="341" t="s">
        <v>437</v>
      </c>
      <c r="I342" s="353">
        <v>5664</v>
      </c>
      <c r="J342" s="353">
        <v>52.6642</v>
      </c>
      <c r="K342" s="354">
        <f t="shared" si="28"/>
        <v>107.54934091849871</v>
      </c>
      <c r="L342" s="341">
        <v>36</v>
      </c>
      <c r="M342" s="343">
        <f t="shared" si="31"/>
        <v>157.33333333333334</v>
      </c>
      <c r="N342" s="344">
        <f ca="1" t="shared" si="29"/>
        <v>27</v>
      </c>
      <c r="O342" s="348">
        <f t="shared" si="30"/>
        <v>1416</v>
      </c>
      <c r="P342" s="340" t="s">
        <v>3117</v>
      </c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</row>
    <row r="343" spans="2:46" s="3" customFormat="1" ht="51.75" customHeight="1">
      <c r="B343" s="355">
        <v>43747</v>
      </c>
      <c r="C343" s="340" t="s">
        <v>3092</v>
      </c>
      <c r="D343" s="341" t="s">
        <v>3147</v>
      </c>
      <c r="E343" s="339" t="s">
        <v>3138</v>
      </c>
      <c r="F343" s="341" t="s">
        <v>42</v>
      </c>
      <c r="G343" s="341" t="s">
        <v>3148</v>
      </c>
      <c r="H343" s="341" t="s">
        <v>437</v>
      </c>
      <c r="I343" s="353">
        <v>5664</v>
      </c>
      <c r="J343" s="353">
        <v>52.6642</v>
      </c>
      <c r="K343" s="354">
        <f t="shared" si="28"/>
        <v>107.54934091849871</v>
      </c>
      <c r="L343" s="341">
        <v>36</v>
      </c>
      <c r="M343" s="343">
        <f t="shared" si="31"/>
        <v>157.33333333333334</v>
      </c>
      <c r="N343" s="344">
        <f ca="1" t="shared" si="29"/>
        <v>27</v>
      </c>
      <c r="O343" s="348">
        <f t="shared" si="30"/>
        <v>1416</v>
      </c>
      <c r="P343" s="340" t="s">
        <v>3117</v>
      </c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</row>
    <row r="344" spans="2:46" s="3" customFormat="1" ht="52.5" customHeight="1">
      <c r="B344" s="355">
        <v>43747</v>
      </c>
      <c r="C344" s="340" t="s">
        <v>3092</v>
      </c>
      <c r="D344" s="341" t="s">
        <v>3149</v>
      </c>
      <c r="E344" s="339" t="s">
        <v>3138</v>
      </c>
      <c r="F344" s="341" t="s">
        <v>42</v>
      </c>
      <c r="G344" s="341" t="s">
        <v>3610</v>
      </c>
      <c r="H344" s="341" t="s">
        <v>437</v>
      </c>
      <c r="I344" s="353">
        <v>5664</v>
      </c>
      <c r="J344" s="353">
        <v>52.6642</v>
      </c>
      <c r="K344" s="354">
        <f t="shared" si="28"/>
        <v>107.54934091849871</v>
      </c>
      <c r="L344" s="341">
        <v>36</v>
      </c>
      <c r="M344" s="343">
        <f t="shared" si="31"/>
        <v>157.33333333333334</v>
      </c>
      <c r="N344" s="344">
        <f ca="1" t="shared" si="29"/>
        <v>27</v>
      </c>
      <c r="O344" s="348">
        <f t="shared" si="30"/>
        <v>1416</v>
      </c>
      <c r="P344" s="340" t="s">
        <v>3117</v>
      </c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</row>
    <row r="345" spans="2:46" s="3" customFormat="1" ht="50.25" customHeight="1">
      <c r="B345" s="355">
        <v>43747</v>
      </c>
      <c r="C345" s="340" t="s">
        <v>3092</v>
      </c>
      <c r="D345" s="341" t="s">
        <v>3150</v>
      </c>
      <c r="E345" s="339" t="s">
        <v>3138</v>
      </c>
      <c r="F345" s="341" t="s">
        <v>42</v>
      </c>
      <c r="G345" s="341" t="s">
        <v>3151</v>
      </c>
      <c r="H345" s="341" t="s">
        <v>437</v>
      </c>
      <c r="I345" s="353">
        <v>5664</v>
      </c>
      <c r="J345" s="353">
        <v>52.6642</v>
      </c>
      <c r="K345" s="354">
        <f t="shared" si="28"/>
        <v>107.54934091849871</v>
      </c>
      <c r="L345" s="341">
        <v>36</v>
      </c>
      <c r="M345" s="343">
        <f t="shared" si="31"/>
        <v>157.33333333333334</v>
      </c>
      <c r="N345" s="344">
        <f ca="1" t="shared" si="29"/>
        <v>27</v>
      </c>
      <c r="O345" s="348">
        <f t="shared" si="30"/>
        <v>1416</v>
      </c>
      <c r="P345" s="340" t="s">
        <v>3117</v>
      </c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</row>
    <row r="346" spans="2:46" s="3" customFormat="1" ht="51" customHeight="1">
      <c r="B346" s="355">
        <v>43747</v>
      </c>
      <c r="C346" s="340" t="s">
        <v>3092</v>
      </c>
      <c r="D346" s="341" t="s">
        <v>3152</v>
      </c>
      <c r="E346" s="339" t="s">
        <v>3138</v>
      </c>
      <c r="F346" s="341" t="s">
        <v>42</v>
      </c>
      <c r="G346" s="341" t="s">
        <v>3639</v>
      </c>
      <c r="H346" s="341" t="s">
        <v>437</v>
      </c>
      <c r="I346" s="353">
        <v>5664</v>
      </c>
      <c r="J346" s="353">
        <v>52.6642</v>
      </c>
      <c r="K346" s="354">
        <f t="shared" si="28"/>
        <v>107.54934091849871</v>
      </c>
      <c r="L346" s="341">
        <v>36</v>
      </c>
      <c r="M346" s="343">
        <f t="shared" si="31"/>
        <v>157.33333333333334</v>
      </c>
      <c r="N346" s="344">
        <f ca="1" t="shared" si="29"/>
        <v>27</v>
      </c>
      <c r="O346" s="348">
        <f t="shared" si="30"/>
        <v>1416</v>
      </c>
      <c r="P346" s="340" t="s">
        <v>3117</v>
      </c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</row>
    <row r="347" spans="2:46" s="3" customFormat="1" ht="51.75" customHeight="1">
      <c r="B347" s="355">
        <v>43747</v>
      </c>
      <c r="C347" s="340" t="s">
        <v>3092</v>
      </c>
      <c r="D347" s="341" t="s">
        <v>3153</v>
      </c>
      <c r="E347" s="339" t="s">
        <v>3138</v>
      </c>
      <c r="F347" s="341" t="s">
        <v>42</v>
      </c>
      <c r="G347" s="341" t="s">
        <v>3154</v>
      </c>
      <c r="H347" s="341" t="s">
        <v>437</v>
      </c>
      <c r="I347" s="353">
        <v>5664</v>
      </c>
      <c r="J347" s="353">
        <v>52.6642</v>
      </c>
      <c r="K347" s="354">
        <f aca="true" t="shared" si="32" ref="K347:K368">+I347/J347</f>
        <v>107.54934091849871</v>
      </c>
      <c r="L347" s="341">
        <v>36</v>
      </c>
      <c r="M347" s="343">
        <f t="shared" si="31"/>
        <v>157.33333333333334</v>
      </c>
      <c r="N347" s="344">
        <f ca="1" t="shared" si="29"/>
        <v>27</v>
      </c>
      <c r="O347" s="348">
        <f t="shared" si="30"/>
        <v>1416</v>
      </c>
      <c r="P347" s="340" t="s">
        <v>3117</v>
      </c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</row>
    <row r="348" spans="2:46" s="3" customFormat="1" ht="51" customHeight="1">
      <c r="B348" s="355">
        <v>43747</v>
      </c>
      <c r="C348" s="340" t="s">
        <v>3092</v>
      </c>
      <c r="D348" s="341" t="s">
        <v>3155</v>
      </c>
      <c r="E348" s="339" t="s">
        <v>3138</v>
      </c>
      <c r="F348" s="341" t="s">
        <v>42</v>
      </c>
      <c r="G348" s="341" t="s">
        <v>3156</v>
      </c>
      <c r="H348" s="341" t="s">
        <v>437</v>
      </c>
      <c r="I348" s="353">
        <v>5664</v>
      </c>
      <c r="J348" s="353">
        <v>52.6642</v>
      </c>
      <c r="K348" s="354">
        <f t="shared" si="32"/>
        <v>107.54934091849871</v>
      </c>
      <c r="L348" s="341">
        <v>36</v>
      </c>
      <c r="M348" s="343">
        <f t="shared" si="31"/>
        <v>157.33333333333334</v>
      </c>
      <c r="N348" s="344">
        <f ca="1" t="shared" si="29"/>
        <v>27</v>
      </c>
      <c r="O348" s="348">
        <f t="shared" si="30"/>
        <v>1416</v>
      </c>
      <c r="P348" s="340" t="s">
        <v>3117</v>
      </c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</row>
    <row r="349" spans="2:46" s="3" customFormat="1" ht="49.5" customHeight="1">
      <c r="B349" s="355">
        <v>43747</v>
      </c>
      <c r="C349" s="340" t="s">
        <v>3092</v>
      </c>
      <c r="D349" s="341" t="s">
        <v>3157</v>
      </c>
      <c r="E349" s="339" t="s">
        <v>3138</v>
      </c>
      <c r="F349" s="341" t="s">
        <v>42</v>
      </c>
      <c r="G349" s="341" t="s">
        <v>3158</v>
      </c>
      <c r="H349" s="341" t="s">
        <v>437</v>
      </c>
      <c r="I349" s="353">
        <v>5664</v>
      </c>
      <c r="J349" s="353">
        <v>52.6642</v>
      </c>
      <c r="K349" s="354">
        <f t="shared" si="32"/>
        <v>107.54934091849871</v>
      </c>
      <c r="L349" s="341">
        <v>36</v>
      </c>
      <c r="M349" s="343">
        <f t="shared" si="31"/>
        <v>157.33333333333334</v>
      </c>
      <c r="N349" s="344">
        <f ca="1" t="shared" si="29"/>
        <v>27</v>
      </c>
      <c r="O349" s="348">
        <f t="shared" si="30"/>
        <v>1416</v>
      </c>
      <c r="P349" s="340" t="s">
        <v>3117</v>
      </c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</row>
    <row r="350" spans="2:46" s="3" customFormat="1" ht="49.5" customHeight="1">
      <c r="B350" s="355">
        <v>43747</v>
      </c>
      <c r="C350" s="340" t="s">
        <v>3092</v>
      </c>
      <c r="D350" s="341" t="s">
        <v>3159</v>
      </c>
      <c r="E350" s="339" t="s">
        <v>3138</v>
      </c>
      <c r="F350" s="341" t="s">
        <v>42</v>
      </c>
      <c r="G350" s="341" t="s">
        <v>3611</v>
      </c>
      <c r="H350" s="341" t="s">
        <v>437</v>
      </c>
      <c r="I350" s="353">
        <v>5664</v>
      </c>
      <c r="J350" s="353">
        <v>52.6642</v>
      </c>
      <c r="K350" s="354">
        <f t="shared" si="32"/>
        <v>107.54934091849871</v>
      </c>
      <c r="L350" s="341">
        <v>36</v>
      </c>
      <c r="M350" s="343">
        <f t="shared" si="31"/>
        <v>157.33333333333334</v>
      </c>
      <c r="N350" s="344">
        <f aca="true" ca="1" t="shared" si="33" ref="N350:N403">IF(B350&lt;&gt;0,(ROUND((NOW()-B350)/30,0)),0)</f>
        <v>27</v>
      </c>
      <c r="O350" s="348">
        <f aca="true" t="shared" si="34" ref="O350:O368">IF(OR(I350=0,L350=0,N350=0),0,I350-(M350*N350))</f>
        <v>1416</v>
      </c>
      <c r="P350" s="340" t="s">
        <v>3117</v>
      </c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</row>
    <row r="351" spans="2:46" s="3" customFormat="1" ht="61.5" customHeight="1">
      <c r="B351" s="355">
        <v>43747</v>
      </c>
      <c r="C351" s="340" t="s">
        <v>3092</v>
      </c>
      <c r="D351" s="341" t="s">
        <v>3160</v>
      </c>
      <c r="E351" s="339" t="s">
        <v>3138</v>
      </c>
      <c r="F351" s="341" t="s">
        <v>42</v>
      </c>
      <c r="G351" s="341" t="s">
        <v>3991</v>
      </c>
      <c r="H351" s="341" t="s">
        <v>437</v>
      </c>
      <c r="I351" s="353">
        <v>5664</v>
      </c>
      <c r="J351" s="353">
        <v>52.6642</v>
      </c>
      <c r="K351" s="354">
        <f t="shared" si="32"/>
        <v>107.54934091849871</v>
      </c>
      <c r="L351" s="341">
        <v>36</v>
      </c>
      <c r="M351" s="343">
        <f t="shared" si="31"/>
        <v>157.33333333333334</v>
      </c>
      <c r="N351" s="344">
        <f ca="1" t="shared" si="33"/>
        <v>27</v>
      </c>
      <c r="O351" s="348">
        <f t="shared" si="34"/>
        <v>1416</v>
      </c>
      <c r="P351" s="340" t="s">
        <v>3117</v>
      </c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</row>
    <row r="352" spans="2:46" s="3" customFormat="1" ht="57" customHeight="1">
      <c r="B352" s="355">
        <v>43747</v>
      </c>
      <c r="C352" s="340" t="s">
        <v>3092</v>
      </c>
      <c r="D352" s="341" t="s">
        <v>3161</v>
      </c>
      <c r="E352" s="339" t="s">
        <v>3138</v>
      </c>
      <c r="F352" s="341" t="s">
        <v>42</v>
      </c>
      <c r="G352" s="341" t="s">
        <v>3162</v>
      </c>
      <c r="H352" s="341" t="s">
        <v>437</v>
      </c>
      <c r="I352" s="353">
        <v>5664</v>
      </c>
      <c r="J352" s="353">
        <v>52.6642</v>
      </c>
      <c r="K352" s="354">
        <f t="shared" si="32"/>
        <v>107.54934091849871</v>
      </c>
      <c r="L352" s="341">
        <v>36</v>
      </c>
      <c r="M352" s="343">
        <f t="shared" si="31"/>
        <v>157.33333333333334</v>
      </c>
      <c r="N352" s="344">
        <f ca="1" t="shared" si="33"/>
        <v>27</v>
      </c>
      <c r="O352" s="348">
        <f t="shared" si="34"/>
        <v>1416</v>
      </c>
      <c r="P352" s="340" t="s">
        <v>3117</v>
      </c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</row>
    <row r="353" spans="2:46" s="3" customFormat="1" ht="51" customHeight="1">
      <c r="B353" s="355">
        <v>43747</v>
      </c>
      <c r="C353" s="340" t="s">
        <v>3092</v>
      </c>
      <c r="D353" s="341" t="s">
        <v>3163</v>
      </c>
      <c r="E353" s="339" t="s">
        <v>3138</v>
      </c>
      <c r="F353" s="341" t="s">
        <v>42</v>
      </c>
      <c r="G353" s="341" t="s">
        <v>3612</v>
      </c>
      <c r="H353" s="341" t="s">
        <v>437</v>
      </c>
      <c r="I353" s="353">
        <v>5664</v>
      </c>
      <c r="J353" s="353">
        <v>52.6642</v>
      </c>
      <c r="K353" s="354">
        <f t="shared" si="32"/>
        <v>107.54934091849871</v>
      </c>
      <c r="L353" s="341">
        <v>36</v>
      </c>
      <c r="M353" s="343">
        <f t="shared" si="31"/>
        <v>157.33333333333334</v>
      </c>
      <c r="N353" s="344">
        <f ca="1" t="shared" si="33"/>
        <v>27</v>
      </c>
      <c r="O353" s="348">
        <f t="shared" si="34"/>
        <v>1416</v>
      </c>
      <c r="P353" s="340" t="s">
        <v>3117</v>
      </c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</row>
    <row r="354" spans="2:46" s="3" customFormat="1" ht="50.25" customHeight="1">
      <c r="B354" s="355">
        <v>43747</v>
      </c>
      <c r="C354" s="340" t="s">
        <v>3092</v>
      </c>
      <c r="D354" s="341" t="s">
        <v>3164</v>
      </c>
      <c r="E354" s="339" t="s">
        <v>3138</v>
      </c>
      <c r="F354" s="341" t="s">
        <v>42</v>
      </c>
      <c r="G354" s="341" t="s">
        <v>3165</v>
      </c>
      <c r="H354" s="341" t="s">
        <v>437</v>
      </c>
      <c r="I354" s="353">
        <v>5664</v>
      </c>
      <c r="J354" s="353">
        <v>52.6642</v>
      </c>
      <c r="K354" s="354">
        <f t="shared" si="32"/>
        <v>107.54934091849871</v>
      </c>
      <c r="L354" s="341">
        <v>36</v>
      </c>
      <c r="M354" s="343">
        <f t="shared" si="31"/>
        <v>157.33333333333334</v>
      </c>
      <c r="N354" s="344">
        <f ca="1" t="shared" si="33"/>
        <v>27</v>
      </c>
      <c r="O354" s="348">
        <f t="shared" si="34"/>
        <v>1416</v>
      </c>
      <c r="P354" s="340" t="s">
        <v>3117</v>
      </c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</row>
    <row r="355" spans="2:46" s="3" customFormat="1" ht="46.5" customHeight="1">
      <c r="B355" s="355">
        <v>43747</v>
      </c>
      <c r="C355" s="340" t="s">
        <v>3092</v>
      </c>
      <c r="D355" s="341" t="s">
        <v>3166</v>
      </c>
      <c r="E355" s="339" t="s">
        <v>3138</v>
      </c>
      <c r="F355" s="341" t="s">
        <v>42</v>
      </c>
      <c r="G355" s="341" t="s">
        <v>3167</v>
      </c>
      <c r="H355" s="341" t="s">
        <v>437</v>
      </c>
      <c r="I355" s="353">
        <v>5664</v>
      </c>
      <c r="J355" s="353">
        <v>52.6642</v>
      </c>
      <c r="K355" s="354">
        <f t="shared" si="32"/>
        <v>107.54934091849871</v>
      </c>
      <c r="L355" s="341">
        <v>36</v>
      </c>
      <c r="M355" s="343">
        <f t="shared" si="31"/>
        <v>157.33333333333334</v>
      </c>
      <c r="N355" s="344">
        <f ca="1" t="shared" si="33"/>
        <v>27</v>
      </c>
      <c r="O355" s="348">
        <f t="shared" si="34"/>
        <v>1416</v>
      </c>
      <c r="P355" s="340" t="s">
        <v>3117</v>
      </c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</row>
    <row r="356" spans="2:46" s="3" customFormat="1" ht="46.5" customHeight="1">
      <c r="B356" s="355">
        <v>43747</v>
      </c>
      <c r="C356" s="340" t="s">
        <v>3092</v>
      </c>
      <c r="D356" s="341" t="s">
        <v>3168</v>
      </c>
      <c r="E356" s="339" t="s">
        <v>3138</v>
      </c>
      <c r="F356" s="341" t="s">
        <v>42</v>
      </c>
      <c r="G356" s="341" t="s">
        <v>3169</v>
      </c>
      <c r="H356" s="341" t="s">
        <v>437</v>
      </c>
      <c r="I356" s="353">
        <v>5664</v>
      </c>
      <c r="J356" s="353">
        <v>52.6642</v>
      </c>
      <c r="K356" s="354">
        <f t="shared" si="32"/>
        <v>107.54934091849871</v>
      </c>
      <c r="L356" s="341">
        <v>36</v>
      </c>
      <c r="M356" s="343">
        <f t="shared" si="31"/>
        <v>157.33333333333334</v>
      </c>
      <c r="N356" s="344">
        <f ca="1" t="shared" si="33"/>
        <v>27</v>
      </c>
      <c r="O356" s="348">
        <f t="shared" si="34"/>
        <v>1416</v>
      </c>
      <c r="P356" s="340" t="s">
        <v>3117</v>
      </c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</row>
    <row r="357" spans="2:46" s="3" customFormat="1" ht="54.75" customHeight="1">
      <c r="B357" s="355">
        <v>43747</v>
      </c>
      <c r="C357" s="340" t="s">
        <v>3092</v>
      </c>
      <c r="D357" s="341" t="s">
        <v>3170</v>
      </c>
      <c r="E357" s="339" t="s">
        <v>3138</v>
      </c>
      <c r="F357" s="341" t="s">
        <v>42</v>
      </c>
      <c r="G357" s="341" t="s">
        <v>3171</v>
      </c>
      <c r="H357" s="341" t="s">
        <v>437</v>
      </c>
      <c r="I357" s="353">
        <v>5664</v>
      </c>
      <c r="J357" s="353">
        <v>52.6642</v>
      </c>
      <c r="K357" s="354">
        <f t="shared" si="32"/>
        <v>107.54934091849871</v>
      </c>
      <c r="L357" s="341">
        <v>36</v>
      </c>
      <c r="M357" s="343">
        <f t="shared" si="31"/>
        <v>157.33333333333334</v>
      </c>
      <c r="N357" s="344">
        <f ca="1" t="shared" si="33"/>
        <v>27</v>
      </c>
      <c r="O357" s="348">
        <f t="shared" si="34"/>
        <v>1416</v>
      </c>
      <c r="P357" s="340" t="s">
        <v>3117</v>
      </c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</row>
    <row r="358" spans="2:46" s="3" customFormat="1" ht="53.25" customHeight="1">
      <c r="B358" s="355">
        <v>43747</v>
      </c>
      <c r="C358" s="340" t="s">
        <v>3092</v>
      </c>
      <c r="D358" s="341" t="s">
        <v>3172</v>
      </c>
      <c r="E358" s="339" t="s">
        <v>3138</v>
      </c>
      <c r="F358" s="341" t="s">
        <v>42</v>
      </c>
      <c r="G358" s="341" t="s">
        <v>3173</v>
      </c>
      <c r="H358" s="341" t="s">
        <v>437</v>
      </c>
      <c r="I358" s="353">
        <v>5664</v>
      </c>
      <c r="J358" s="353">
        <v>52.6642</v>
      </c>
      <c r="K358" s="354">
        <f t="shared" si="32"/>
        <v>107.54934091849871</v>
      </c>
      <c r="L358" s="341">
        <v>36</v>
      </c>
      <c r="M358" s="343">
        <f t="shared" si="31"/>
        <v>157.33333333333334</v>
      </c>
      <c r="N358" s="344">
        <f ca="1" t="shared" si="33"/>
        <v>27</v>
      </c>
      <c r="O358" s="348">
        <f t="shared" si="34"/>
        <v>1416</v>
      </c>
      <c r="P358" s="340" t="s">
        <v>3117</v>
      </c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</row>
    <row r="359" spans="2:46" s="3" customFormat="1" ht="51.75" customHeight="1">
      <c r="B359" s="355">
        <v>43747</v>
      </c>
      <c r="C359" s="340" t="s">
        <v>3092</v>
      </c>
      <c r="D359" s="341" t="s">
        <v>3174</v>
      </c>
      <c r="E359" s="339" t="s">
        <v>3138</v>
      </c>
      <c r="F359" s="341" t="s">
        <v>42</v>
      </c>
      <c r="G359" s="341" t="s">
        <v>3175</v>
      </c>
      <c r="H359" s="341" t="s">
        <v>437</v>
      </c>
      <c r="I359" s="353">
        <v>5664</v>
      </c>
      <c r="J359" s="353">
        <v>52.6642</v>
      </c>
      <c r="K359" s="354">
        <f t="shared" si="32"/>
        <v>107.54934091849871</v>
      </c>
      <c r="L359" s="341">
        <v>36</v>
      </c>
      <c r="M359" s="343">
        <f t="shared" si="31"/>
        <v>157.33333333333334</v>
      </c>
      <c r="N359" s="344">
        <f ca="1" t="shared" si="33"/>
        <v>27</v>
      </c>
      <c r="O359" s="348">
        <f t="shared" si="34"/>
        <v>1416</v>
      </c>
      <c r="P359" s="340" t="s">
        <v>3117</v>
      </c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</row>
    <row r="360" spans="2:46" s="3" customFormat="1" ht="46.5" customHeight="1">
      <c r="B360" s="355">
        <v>43754</v>
      </c>
      <c r="C360" s="340" t="s">
        <v>3093</v>
      </c>
      <c r="D360" s="341" t="s">
        <v>3176</v>
      </c>
      <c r="E360" s="339" t="s">
        <v>3473</v>
      </c>
      <c r="F360" s="341" t="s">
        <v>3177</v>
      </c>
      <c r="G360" s="341" t="s">
        <v>3178</v>
      </c>
      <c r="H360" s="341" t="s">
        <v>437</v>
      </c>
      <c r="I360" s="353">
        <f>15192.5/2</f>
        <v>7596.25</v>
      </c>
      <c r="J360" s="353">
        <v>52.7103</v>
      </c>
      <c r="K360" s="354">
        <f t="shared" si="32"/>
        <v>144.11319988692912</v>
      </c>
      <c r="L360" s="341">
        <v>36</v>
      </c>
      <c r="M360" s="343">
        <f t="shared" si="31"/>
        <v>211.00694444444446</v>
      </c>
      <c r="N360" s="344">
        <f ca="1" t="shared" si="33"/>
        <v>27</v>
      </c>
      <c r="O360" s="348">
        <f t="shared" si="34"/>
        <v>1899.0625</v>
      </c>
      <c r="P360" s="340" t="s">
        <v>1961</v>
      </c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</row>
    <row r="361" spans="2:46" s="3" customFormat="1" ht="46.5" customHeight="1">
      <c r="B361" s="355">
        <v>43754</v>
      </c>
      <c r="C361" s="340" t="s">
        <v>3093</v>
      </c>
      <c r="D361" s="341" t="s">
        <v>3179</v>
      </c>
      <c r="E361" s="339" t="s">
        <v>3473</v>
      </c>
      <c r="F361" s="341" t="s">
        <v>3180</v>
      </c>
      <c r="G361" s="341" t="s">
        <v>517</v>
      </c>
      <c r="H361" s="341" t="s">
        <v>437</v>
      </c>
      <c r="I361" s="353">
        <f>15192.5/2</f>
        <v>7596.25</v>
      </c>
      <c r="J361" s="353">
        <v>52.7103</v>
      </c>
      <c r="K361" s="354">
        <f t="shared" si="32"/>
        <v>144.11319988692912</v>
      </c>
      <c r="L361" s="341">
        <v>36</v>
      </c>
      <c r="M361" s="343">
        <f t="shared" si="31"/>
        <v>211.00694444444446</v>
      </c>
      <c r="N361" s="344">
        <f ca="1" t="shared" si="33"/>
        <v>27</v>
      </c>
      <c r="O361" s="348">
        <f t="shared" si="34"/>
        <v>1899.0625</v>
      </c>
      <c r="P361" s="340" t="s">
        <v>1961</v>
      </c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</row>
    <row r="362" spans="2:46" s="3" customFormat="1" ht="46.5" customHeight="1">
      <c r="B362" s="355">
        <v>43754</v>
      </c>
      <c r="C362" s="340" t="s">
        <v>3093</v>
      </c>
      <c r="D362" s="341" t="s">
        <v>3181</v>
      </c>
      <c r="E362" s="339" t="s">
        <v>3472</v>
      </c>
      <c r="F362" s="341" t="s">
        <v>3182</v>
      </c>
      <c r="G362" s="341" t="s">
        <v>3178</v>
      </c>
      <c r="H362" s="341" t="s">
        <v>437</v>
      </c>
      <c r="I362" s="353">
        <f aca="true" t="shared" si="35" ref="I362:I367">30992.7/6</f>
        <v>5165.45</v>
      </c>
      <c r="J362" s="353">
        <v>52.7103</v>
      </c>
      <c r="K362" s="354">
        <f t="shared" si="32"/>
        <v>97.9969759231118</v>
      </c>
      <c r="L362" s="341">
        <v>36</v>
      </c>
      <c r="M362" s="343">
        <f t="shared" si="31"/>
        <v>143.48472222222222</v>
      </c>
      <c r="N362" s="344">
        <f ca="1" t="shared" si="33"/>
        <v>27</v>
      </c>
      <c r="O362" s="348">
        <f t="shared" si="34"/>
        <v>1291.3625000000002</v>
      </c>
      <c r="P362" s="340" t="s">
        <v>1961</v>
      </c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</row>
    <row r="363" spans="2:46" s="3" customFormat="1" ht="46.5" customHeight="1">
      <c r="B363" s="355">
        <v>43754</v>
      </c>
      <c r="C363" s="340" t="s">
        <v>3093</v>
      </c>
      <c r="D363" s="341" t="s">
        <v>3183</v>
      </c>
      <c r="E363" s="339" t="s">
        <v>3472</v>
      </c>
      <c r="F363" s="341" t="s">
        <v>3184</v>
      </c>
      <c r="G363" s="341" t="s">
        <v>517</v>
      </c>
      <c r="H363" s="341" t="s">
        <v>437</v>
      </c>
      <c r="I363" s="353">
        <f t="shared" si="35"/>
        <v>5165.45</v>
      </c>
      <c r="J363" s="353">
        <v>52.7103</v>
      </c>
      <c r="K363" s="354">
        <f t="shared" si="32"/>
        <v>97.9969759231118</v>
      </c>
      <c r="L363" s="341">
        <v>36</v>
      </c>
      <c r="M363" s="343">
        <f t="shared" si="31"/>
        <v>143.48472222222222</v>
      </c>
      <c r="N363" s="344">
        <f ca="1" t="shared" si="33"/>
        <v>27</v>
      </c>
      <c r="O363" s="348">
        <f t="shared" si="34"/>
        <v>1291.3625000000002</v>
      </c>
      <c r="P363" s="340" t="s">
        <v>1961</v>
      </c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</row>
    <row r="364" spans="2:46" s="3" customFormat="1" ht="46.5" customHeight="1">
      <c r="B364" s="355">
        <v>43754</v>
      </c>
      <c r="C364" s="340" t="s">
        <v>3093</v>
      </c>
      <c r="D364" s="341" t="s">
        <v>3185</v>
      </c>
      <c r="E364" s="339" t="s">
        <v>3472</v>
      </c>
      <c r="F364" s="341" t="s">
        <v>3186</v>
      </c>
      <c r="G364" s="341" t="s">
        <v>3178</v>
      </c>
      <c r="H364" s="341" t="s">
        <v>437</v>
      </c>
      <c r="I364" s="353">
        <f t="shared" si="35"/>
        <v>5165.45</v>
      </c>
      <c r="J364" s="353">
        <v>52.7103</v>
      </c>
      <c r="K364" s="354">
        <f t="shared" si="32"/>
        <v>97.9969759231118</v>
      </c>
      <c r="L364" s="341">
        <v>36</v>
      </c>
      <c r="M364" s="343">
        <f t="shared" si="31"/>
        <v>143.48472222222222</v>
      </c>
      <c r="N364" s="344">
        <f ca="1" t="shared" si="33"/>
        <v>27</v>
      </c>
      <c r="O364" s="348">
        <f t="shared" si="34"/>
        <v>1291.3625000000002</v>
      </c>
      <c r="P364" s="340" t="s">
        <v>1961</v>
      </c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</row>
    <row r="365" spans="2:46" s="3" customFormat="1" ht="35.25" customHeight="1">
      <c r="B365" s="355">
        <v>43754</v>
      </c>
      <c r="C365" s="340" t="s">
        <v>3093</v>
      </c>
      <c r="D365" s="341" t="s">
        <v>3187</v>
      </c>
      <c r="E365" s="339" t="s">
        <v>3472</v>
      </c>
      <c r="F365" s="341" t="s">
        <v>3188</v>
      </c>
      <c r="G365" s="341" t="s">
        <v>517</v>
      </c>
      <c r="H365" s="341" t="s">
        <v>437</v>
      </c>
      <c r="I365" s="353">
        <f t="shared" si="35"/>
        <v>5165.45</v>
      </c>
      <c r="J365" s="353">
        <v>52.7103</v>
      </c>
      <c r="K365" s="354">
        <f t="shared" si="32"/>
        <v>97.9969759231118</v>
      </c>
      <c r="L365" s="341">
        <v>36</v>
      </c>
      <c r="M365" s="343">
        <f>IF(AND(I365&lt;&gt;0,L365&lt;&gt;0),I365/L365,0)</f>
        <v>143.48472222222222</v>
      </c>
      <c r="N365" s="344">
        <f ca="1" t="shared" si="33"/>
        <v>27</v>
      </c>
      <c r="O365" s="348">
        <f t="shared" si="34"/>
        <v>1291.3625000000002</v>
      </c>
      <c r="P365" s="340" t="s">
        <v>1961</v>
      </c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</row>
    <row r="366" spans="2:46" s="3" customFormat="1" ht="35.25" customHeight="1">
      <c r="B366" s="355">
        <v>43754</v>
      </c>
      <c r="C366" s="340" t="s">
        <v>3093</v>
      </c>
      <c r="D366" s="341" t="s">
        <v>3189</v>
      </c>
      <c r="E366" s="339" t="s">
        <v>3472</v>
      </c>
      <c r="F366" s="341" t="s">
        <v>3190</v>
      </c>
      <c r="G366" s="341" t="s">
        <v>517</v>
      </c>
      <c r="H366" s="341" t="s">
        <v>437</v>
      </c>
      <c r="I366" s="353">
        <f t="shared" si="35"/>
        <v>5165.45</v>
      </c>
      <c r="J366" s="353">
        <v>52.7103</v>
      </c>
      <c r="K366" s="354">
        <f t="shared" si="32"/>
        <v>97.9969759231118</v>
      </c>
      <c r="L366" s="341">
        <v>36</v>
      </c>
      <c r="M366" s="343">
        <f>IF(AND(I366&lt;&gt;0,L366&lt;&gt;0),I366/L366,0)</f>
        <v>143.48472222222222</v>
      </c>
      <c r="N366" s="344">
        <f ca="1" t="shared" si="33"/>
        <v>27</v>
      </c>
      <c r="O366" s="348">
        <f t="shared" si="34"/>
        <v>1291.3625000000002</v>
      </c>
      <c r="P366" s="340" t="s">
        <v>1961</v>
      </c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</row>
    <row r="367" spans="2:46" s="3" customFormat="1" ht="46.5" customHeight="1">
      <c r="B367" s="355">
        <v>43754</v>
      </c>
      <c r="C367" s="340" t="s">
        <v>3093</v>
      </c>
      <c r="D367" s="341" t="s">
        <v>3191</v>
      </c>
      <c r="E367" s="339" t="s">
        <v>3472</v>
      </c>
      <c r="F367" s="341" t="s">
        <v>3192</v>
      </c>
      <c r="G367" s="341" t="s">
        <v>517</v>
      </c>
      <c r="H367" s="341" t="s">
        <v>437</v>
      </c>
      <c r="I367" s="353">
        <f t="shared" si="35"/>
        <v>5165.45</v>
      </c>
      <c r="J367" s="353">
        <v>52.7103</v>
      </c>
      <c r="K367" s="354">
        <f t="shared" si="32"/>
        <v>97.9969759231118</v>
      </c>
      <c r="L367" s="341">
        <v>36</v>
      </c>
      <c r="M367" s="343">
        <f>IF(AND(I367&lt;&gt;0,L367&lt;&gt;0),I367/L367,0)</f>
        <v>143.48472222222222</v>
      </c>
      <c r="N367" s="344">
        <f ca="1" t="shared" si="33"/>
        <v>27</v>
      </c>
      <c r="O367" s="348">
        <f t="shared" si="34"/>
        <v>1291.3625000000002</v>
      </c>
      <c r="P367" s="340" t="s">
        <v>1961</v>
      </c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</row>
    <row r="368" spans="2:46" s="3" customFormat="1" ht="51.75" customHeight="1">
      <c r="B368" s="355">
        <v>43818</v>
      </c>
      <c r="C368" s="340" t="s">
        <v>3094</v>
      </c>
      <c r="D368" s="341" t="s">
        <v>3193</v>
      </c>
      <c r="E368" s="339" t="s">
        <v>3194</v>
      </c>
      <c r="F368" s="341" t="s">
        <v>42</v>
      </c>
      <c r="G368" s="341" t="s">
        <v>3195</v>
      </c>
      <c r="H368" s="341" t="s">
        <v>437</v>
      </c>
      <c r="I368" s="353">
        <v>22490.8</v>
      </c>
      <c r="J368" s="353">
        <v>52.8503</v>
      </c>
      <c r="K368" s="354">
        <f t="shared" si="32"/>
        <v>425.55671396378074</v>
      </c>
      <c r="L368" s="341">
        <v>36</v>
      </c>
      <c r="M368" s="343">
        <f>IF(AND(I368&lt;&gt;0,L368&lt;&gt;0),I368/L368,0)</f>
        <v>624.7444444444444</v>
      </c>
      <c r="N368" s="344">
        <f ca="1" t="shared" si="33"/>
        <v>25</v>
      </c>
      <c r="O368" s="348">
        <f t="shared" si="34"/>
        <v>6872.18888888889</v>
      </c>
      <c r="P368" s="340" t="s">
        <v>1953</v>
      </c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</row>
    <row r="369" spans="2:46" s="3" customFormat="1" ht="58.5" customHeight="1">
      <c r="B369" s="355">
        <v>43818</v>
      </c>
      <c r="C369" s="340" t="s">
        <v>3095</v>
      </c>
      <c r="D369" s="341" t="s">
        <v>3196</v>
      </c>
      <c r="E369" s="339" t="s">
        <v>3197</v>
      </c>
      <c r="F369" s="341" t="s">
        <v>3198</v>
      </c>
      <c r="G369" s="341" t="s">
        <v>3199</v>
      </c>
      <c r="H369" s="341" t="s">
        <v>3200</v>
      </c>
      <c r="I369" s="353">
        <v>2548.8</v>
      </c>
      <c r="J369" s="353">
        <v>52.8503</v>
      </c>
      <c r="K369" s="354">
        <f>+I369/J369</f>
        <v>48.22678395392269</v>
      </c>
      <c r="L369" s="341">
        <v>36</v>
      </c>
      <c r="M369" s="343">
        <f>IF(AND(I369&lt;&gt;0,L369&lt;&gt;0),I369/L369,0)</f>
        <v>70.80000000000001</v>
      </c>
      <c r="N369" s="344">
        <f ca="1" t="shared" si="33"/>
        <v>25</v>
      </c>
      <c r="O369" s="348">
        <f>IF(OR(I369=0,L369=0,N369=0),0,I369-(M369*N369))</f>
        <v>778.8</v>
      </c>
      <c r="P369" s="340" t="s">
        <v>3201</v>
      </c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</row>
    <row r="370" spans="2:46" s="3" customFormat="1" ht="51.75" customHeight="1">
      <c r="B370" s="355">
        <v>43818</v>
      </c>
      <c r="C370" s="340" t="s">
        <v>3095</v>
      </c>
      <c r="D370" s="341" t="s">
        <v>3202</v>
      </c>
      <c r="E370" s="339" t="s">
        <v>3197</v>
      </c>
      <c r="F370" s="341" t="s">
        <v>3198</v>
      </c>
      <c r="G370" s="341" t="s">
        <v>3199</v>
      </c>
      <c r="H370" s="341" t="s">
        <v>3200</v>
      </c>
      <c r="I370" s="353">
        <v>2548.8</v>
      </c>
      <c r="J370" s="353">
        <v>52.8503</v>
      </c>
      <c r="K370" s="354">
        <f aca="true" t="shared" si="36" ref="K370:K404">+I370/J370</f>
        <v>48.22678395392269</v>
      </c>
      <c r="L370" s="341">
        <v>36</v>
      </c>
      <c r="M370" s="343">
        <f aca="true" t="shared" si="37" ref="M370:M404">IF(AND(I370&lt;&gt;0,L370&lt;&gt;0),I370/L370,0)</f>
        <v>70.80000000000001</v>
      </c>
      <c r="N370" s="344">
        <f ca="1" t="shared" si="33"/>
        <v>25</v>
      </c>
      <c r="O370" s="348">
        <f aca="true" t="shared" si="38" ref="O370:O404">IF(OR(I370=0,L370=0,N370=0),0,I370-(M370*N370))</f>
        <v>778.8</v>
      </c>
      <c r="P370" s="340" t="s">
        <v>3201</v>
      </c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</row>
    <row r="371" spans="2:46" s="3" customFormat="1" ht="56.25" customHeight="1">
      <c r="B371" s="355">
        <v>43818</v>
      </c>
      <c r="C371" s="340" t="s">
        <v>3095</v>
      </c>
      <c r="D371" s="341" t="s">
        <v>3203</v>
      </c>
      <c r="E371" s="339" t="s">
        <v>3197</v>
      </c>
      <c r="F371" s="341" t="s">
        <v>3198</v>
      </c>
      <c r="G371" s="341" t="s">
        <v>3199</v>
      </c>
      <c r="H371" s="341" t="s">
        <v>3200</v>
      </c>
      <c r="I371" s="353">
        <v>2548.8</v>
      </c>
      <c r="J371" s="353">
        <v>52.8503</v>
      </c>
      <c r="K371" s="354">
        <f t="shared" si="36"/>
        <v>48.22678395392269</v>
      </c>
      <c r="L371" s="341">
        <v>36</v>
      </c>
      <c r="M371" s="343">
        <f t="shared" si="37"/>
        <v>70.80000000000001</v>
      </c>
      <c r="N371" s="344">
        <f ca="1" t="shared" si="33"/>
        <v>25</v>
      </c>
      <c r="O371" s="348">
        <f t="shared" si="38"/>
        <v>778.8</v>
      </c>
      <c r="P371" s="340" t="s">
        <v>3201</v>
      </c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</row>
    <row r="372" spans="2:46" s="3" customFormat="1" ht="53.25" customHeight="1">
      <c r="B372" s="355">
        <v>43818</v>
      </c>
      <c r="C372" s="340" t="s">
        <v>3095</v>
      </c>
      <c r="D372" s="341" t="s">
        <v>3204</v>
      </c>
      <c r="E372" s="339" t="s">
        <v>3197</v>
      </c>
      <c r="F372" s="341" t="s">
        <v>3198</v>
      </c>
      <c r="G372" s="341" t="s">
        <v>3199</v>
      </c>
      <c r="H372" s="341" t="s">
        <v>3200</v>
      </c>
      <c r="I372" s="353">
        <v>2548.8</v>
      </c>
      <c r="J372" s="353">
        <v>52.8503</v>
      </c>
      <c r="K372" s="354">
        <f t="shared" si="36"/>
        <v>48.22678395392269</v>
      </c>
      <c r="L372" s="341">
        <v>36</v>
      </c>
      <c r="M372" s="343">
        <f t="shared" si="37"/>
        <v>70.80000000000001</v>
      </c>
      <c r="N372" s="344">
        <f ca="1" t="shared" si="33"/>
        <v>25</v>
      </c>
      <c r="O372" s="348">
        <f t="shared" si="38"/>
        <v>778.8</v>
      </c>
      <c r="P372" s="340" t="s">
        <v>3201</v>
      </c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</row>
    <row r="373" spans="2:46" s="3" customFormat="1" ht="57" customHeight="1">
      <c r="B373" s="355">
        <v>43818</v>
      </c>
      <c r="C373" s="340" t="s">
        <v>3095</v>
      </c>
      <c r="D373" s="341" t="s">
        <v>3205</v>
      </c>
      <c r="E373" s="339" t="s">
        <v>3197</v>
      </c>
      <c r="F373" s="341" t="s">
        <v>3198</v>
      </c>
      <c r="G373" s="341" t="s">
        <v>3199</v>
      </c>
      <c r="H373" s="341" t="s">
        <v>3200</v>
      </c>
      <c r="I373" s="353">
        <v>2548.8</v>
      </c>
      <c r="J373" s="353">
        <v>52.8503</v>
      </c>
      <c r="K373" s="354">
        <f t="shared" si="36"/>
        <v>48.22678395392269</v>
      </c>
      <c r="L373" s="341">
        <v>36</v>
      </c>
      <c r="M373" s="343">
        <f t="shared" si="37"/>
        <v>70.80000000000001</v>
      </c>
      <c r="N373" s="344">
        <f ca="1" t="shared" si="33"/>
        <v>25</v>
      </c>
      <c r="O373" s="348">
        <f t="shared" si="38"/>
        <v>778.8</v>
      </c>
      <c r="P373" s="340" t="s">
        <v>3201</v>
      </c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</row>
    <row r="374" spans="2:46" s="3" customFormat="1" ht="52.5" customHeight="1">
      <c r="B374" s="355">
        <v>43818</v>
      </c>
      <c r="C374" s="340" t="s">
        <v>3095</v>
      </c>
      <c r="D374" s="341" t="s">
        <v>3206</v>
      </c>
      <c r="E374" s="339" t="s">
        <v>3197</v>
      </c>
      <c r="F374" s="341" t="s">
        <v>3198</v>
      </c>
      <c r="G374" s="341" t="s">
        <v>3207</v>
      </c>
      <c r="H374" s="341" t="s">
        <v>3208</v>
      </c>
      <c r="I374" s="353">
        <v>2548.8</v>
      </c>
      <c r="J374" s="353">
        <v>52.8503</v>
      </c>
      <c r="K374" s="354">
        <f t="shared" si="36"/>
        <v>48.22678395392269</v>
      </c>
      <c r="L374" s="341">
        <v>36</v>
      </c>
      <c r="M374" s="343">
        <f t="shared" si="37"/>
        <v>70.80000000000001</v>
      </c>
      <c r="N374" s="344">
        <f ca="1" t="shared" si="33"/>
        <v>25</v>
      </c>
      <c r="O374" s="348">
        <f t="shared" si="38"/>
        <v>778.8</v>
      </c>
      <c r="P374" s="340" t="s">
        <v>3201</v>
      </c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</row>
    <row r="375" spans="2:46" s="3" customFormat="1" ht="46.5" customHeight="1">
      <c r="B375" s="355">
        <v>43818</v>
      </c>
      <c r="C375" s="340" t="s">
        <v>3095</v>
      </c>
      <c r="D375" s="341" t="s">
        <v>3209</v>
      </c>
      <c r="E375" s="339" t="s">
        <v>3197</v>
      </c>
      <c r="F375" s="341" t="s">
        <v>3198</v>
      </c>
      <c r="G375" s="341" t="s">
        <v>3207</v>
      </c>
      <c r="H375" s="341" t="s">
        <v>3208</v>
      </c>
      <c r="I375" s="353">
        <v>2548.8</v>
      </c>
      <c r="J375" s="353">
        <v>52.8503</v>
      </c>
      <c r="K375" s="354">
        <f t="shared" si="36"/>
        <v>48.22678395392269</v>
      </c>
      <c r="L375" s="341">
        <v>36</v>
      </c>
      <c r="M375" s="343">
        <f t="shared" si="37"/>
        <v>70.80000000000001</v>
      </c>
      <c r="N375" s="344">
        <f ca="1" t="shared" si="33"/>
        <v>25</v>
      </c>
      <c r="O375" s="348">
        <f t="shared" si="38"/>
        <v>778.8</v>
      </c>
      <c r="P375" s="340" t="s">
        <v>3201</v>
      </c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</row>
    <row r="376" spans="2:46" s="3" customFormat="1" ht="46.5" customHeight="1">
      <c r="B376" s="355">
        <v>43818</v>
      </c>
      <c r="C376" s="340" t="s">
        <v>3095</v>
      </c>
      <c r="D376" s="341" t="s">
        <v>3210</v>
      </c>
      <c r="E376" s="339" t="s">
        <v>3211</v>
      </c>
      <c r="F376" s="341" t="s">
        <v>3212</v>
      </c>
      <c r="G376" s="341" t="s">
        <v>3199</v>
      </c>
      <c r="H376" s="341" t="s">
        <v>3200</v>
      </c>
      <c r="I376" s="353">
        <v>2124</v>
      </c>
      <c r="J376" s="353">
        <v>52.8503</v>
      </c>
      <c r="K376" s="354">
        <f t="shared" si="36"/>
        <v>40.18898662826891</v>
      </c>
      <c r="L376" s="341">
        <v>36</v>
      </c>
      <c r="M376" s="343">
        <f t="shared" si="37"/>
        <v>59</v>
      </c>
      <c r="N376" s="344">
        <f ca="1" t="shared" si="33"/>
        <v>25</v>
      </c>
      <c r="O376" s="348">
        <f t="shared" si="38"/>
        <v>649</v>
      </c>
      <c r="P376" s="340" t="s">
        <v>3201</v>
      </c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</row>
    <row r="377" spans="2:46" s="3" customFormat="1" ht="52.5" customHeight="1">
      <c r="B377" s="355">
        <v>43818</v>
      </c>
      <c r="C377" s="340" t="s">
        <v>3095</v>
      </c>
      <c r="D377" s="341" t="s">
        <v>3213</v>
      </c>
      <c r="E377" s="339" t="s">
        <v>3211</v>
      </c>
      <c r="F377" s="341" t="s">
        <v>3198</v>
      </c>
      <c r="G377" s="341" t="s">
        <v>3199</v>
      </c>
      <c r="H377" s="341" t="s">
        <v>3200</v>
      </c>
      <c r="I377" s="353">
        <v>2124</v>
      </c>
      <c r="J377" s="353">
        <v>52.8503</v>
      </c>
      <c r="K377" s="354">
        <f t="shared" si="36"/>
        <v>40.18898662826891</v>
      </c>
      <c r="L377" s="341">
        <v>36</v>
      </c>
      <c r="M377" s="343">
        <f t="shared" si="37"/>
        <v>59</v>
      </c>
      <c r="N377" s="344">
        <f ca="1" t="shared" si="33"/>
        <v>25</v>
      </c>
      <c r="O377" s="348">
        <f t="shared" si="38"/>
        <v>649</v>
      </c>
      <c r="P377" s="340" t="s">
        <v>3201</v>
      </c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</row>
    <row r="378" spans="2:46" s="3" customFormat="1" ht="50.25" customHeight="1">
      <c r="B378" s="355">
        <v>43818</v>
      </c>
      <c r="C378" s="340" t="s">
        <v>3096</v>
      </c>
      <c r="D378" s="341" t="s">
        <v>3214</v>
      </c>
      <c r="E378" s="339" t="s">
        <v>3879</v>
      </c>
      <c r="F378" s="341" t="s">
        <v>42</v>
      </c>
      <c r="G378" s="341" t="s">
        <v>517</v>
      </c>
      <c r="H378" s="341" t="s">
        <v>437</v>
      </c>
      <c r="I378" s="353">
        <v>149529.6</v>
      </c>
      <c r="J378" s="353">
        <v>52.8503</v>
      </c>
      <c r="K378" s="354">
        <f t="shared" si="36"/>
        <v>2829.304658630131</v>
      </c>
      <c r="L378" s="341">
        <v>36</v>
      </c>
      <c r="M378" s="343">
        <f t="shared" si="37"/>
        <v>4153.6</v>
      </c>
      <c r="N378" s="344">
        <f ca="1" t="shared" si="33"/>
        <v>25</v>
      </c>
      <c r="O378" s="348">
        <f t="shared" si="38"/>
        <v>45689.59999999999</v>
      </c>
      <c r="P378" s="340" t="s">
        <v>2286</v>
      </c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</row>
    <row r="379" spans="2:46" s="3" customFormat="1" ht="56.25" customHeight="1">
      <c r="B379" s="355">
        <v>43819</v>
      </c>
      <c r="C379" s="340" t="s">
        <v>3097</v>
      </c>
      <c r="D379" s="341" t="s">
        <v>3215</v>
      </c>
      <c r="E379" s="339" t="s">
        <v>3216</v>
      </c>
      <c r="F379" s="341" t="s">
        <v>42</v>
      </c>
      <c r="G379" s="341" t="s">
        <v>3199</v>
      </c>
      <c r="H379" s="341" t="s">
        <v>3200</v>
      </c>
      <c r="I379" s="353">
        <f>18950+3411</f>
        <v>22361</v>
      </c>
      <c r="J379" s="353">
        <v>52.8524</v>
      </c>
      <c r="K379" s="354">
        <f t="shared" si="36"/>
        <v>423.083909150767</v>
      </c>
      <c r="L379" s="341">
        <v>36</v>
      </c>
      <c r="M379" s="343">
        <f t="shared" si="37"/>
        <v>621.1388888888889</v>
      </c>
      <c r="N379" s="344">
        <f ca="1" t="shared" si="33"/>
        <v>25</v>
      </c>
      <c r="O379" s="348">
        <f t="shared" si="38"/>
        <v>6832.527777777777</v>
      </c>
      <c r="P379" s="340" t="s">
        <v>3217</v>
      </c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</row>
    <row r="380" spans="2:46" s="3" customFormat="1" ht="57.75" customHeight="1">
      <c r="B380" s="355">
        <v>43819</v>
      </c>
      <c r="C380" s="340" t="s">
        <v>3097</v>
      </c>
      <c r="D380" s="341" t="s">
        <v>3218</v>
      </c>
      <c r="E380" s="339" t="s">
        <v>3216</v>
      </c>
      <c r="F380" s="341" t="s">
        <v>42</v>
      </c>
      <c r="G380" s="341" t="s">
        <v>3199</v>
      </c>
      <c r="H380" s="341" t="s">
        <v>3200</v>
      </c>
      <c r="I380" s="353">
        <f>18950+3411</f>
        <v>22361</v>
      </c>
      <c r="J380" s="353">
        <v>52.8524</v>
      </c>
      <c r="K380" s="354">
        <f t="shared" si="36"/>
        <v>423.083909150767</v>
      </c>
      <c r="L380" s="341">
        <v>36</v>
      </c>
      <c r="M380" s="343">
        <f t="shared" si="37"/>
        <v>621.1388888888889</v>
      </c>
      <c r="N380" s="344">
        <f ca="1" t="shared" si="33"/>
        <v>25</v>
      </c>
      <c r="O380" s="348">
        <f t="shared" si="38"/>
        <v>6832.527777777777</v>
      </c>
      <c r="P380" s="340" t="s">
        <v>3217</v>
      </c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</row>
    <row r="381" spans="2:46" s="3" customFormat="1" ht="57" customHeight="1">
      <c r="B381" s="355">
        <v>43819</v>
      </c>
      <c r="C381" s="340" t="s">
        <v>3097</v>
      </c>
      <c r="D381" s="341" t="s">
        <v>3219</v>
      </c>
      <c r="E381" s="339" t="s">
        <v>3220</v>
      </c>
      <c r="F381" s="341" t="s">
        <v>42</v>
      </c>
      <c r="G381" s="341" t="s">
        <v>3199</v>
      </c>
      <c r="H381" s="341" t="s">
        <v>3200</v>
      </c>
      <c r="I381" s="353">
        <f>18950+3411</f>
        <v>22361</v>
      </c>
      <c r="J381" s="353">
        <v>52.8524</v>
      </c>
      <c r="K381" s="354">
        <f>+I381/J381</f>
        <v>423.083909150767</v>
      </c>
      <c r="L381" s="341">
        <v>36</v>
      </c>
      <c r="M381" s="343">
        <f>IF(AND(I381&lt;&gt;0,L381&lt;&gt;0),I381/L381,0)</f>
        <v>621.1388888888889</v>
      </c>
      <c r="N381" s="344">
        <f ca="1" t="shared" si="33"/>
        <v>25</v>
      </c>
      <c r="O381" s="348">
        <f>IF(OR(I381=0,L381=0,N381=0),0,I381-(M381*N381))</f>
        <v>6832.527777777777</v>
      </c>
      <c r="P381" s="340" t="s">
        <v>3217</v>
      </c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</row>
    <row r="382" spans="2:46" s="3" customFormat="1" ht="54.75" customHeight="1">
      <c r="B382" s="355">
        <v>43819</v>
      </c>
      <c r="C382" s="340" t="s">
        <v>3097</v>
      </c>
      <c r="D382" s="341" t="s">
        <v>3221</v>
      </c>
      <c r="E382" s="339" t="s">
        <v>3220</v>
      </c>
      <c r="F382" s="341" t="s">
        <v>42</v>
      </c>
      <c r="G382" s="341" t="s">
        <v>3199</v>
      </c>
      <c r="H382" s="341" t="s">
        <v>3200</v>
      </c>
      <c r="I382" s="353">
        <f>18950+3411</f>
        <v>22361</v>
      </c>
      <c r="J382" s="353">
        <v>52.8524</v>
      </c>
      <c r="K382" s="354">
        <f>+I382/J382</f>
        <v>423.083909150767</v>
      </c>
      <c r="L382" s="341">
        <v>36</v>
      </c>
      <c r="M382" s="343">
        <f>IF(AND(I382&lt;&gt;0,L382&lt;&gt;0),I382/L382,0)</f>
        <v>621.1388888888889</v>
      </c>
      <c r="N382" s="344">
        <f ca="1" t="shared" si="33"/>
        <v>25</v>
      </c>
      <c r="O382" s="348">
        <f>IF(OR(I382=0,L382=0,N382=0),0,I382-(M382*N382))</f>
        <v>6832.527777777777</v>
      </c>
      <c r="P382" s="340" t="s">
        <v>3217</v>
      </c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</row>
    <row r="383" spans="2:46" s="3" customFormat="1" ht="54" customHeight="1">
      <c r="B383" s="355">
        <v>43819</v>
      </c>
      <c r="C383" s="340" t="s">
        <v>3097</v>
      </c>
      <c r="D383" s="341" t="s">
        <v>3222</v>
      </c>
      <c r="E383" s="339" t="s">
        <v>2033</v>
      </c>
      <c r="F383" s="341" t="s">
        <v>42</v>
      </c>
      <c r="G383" s="341" t="s">
        <v>3199</v>
      </c>
      <c r="H383" s="341" t="s">
        <v>3200</v>
      </c>
      <c r="I383" s="353">
        <f>4950+891</f>
        <v>5841</v>
      </c>
      <c r="J383" s="353">
        <v>52.8524</v>
      </c>
      <c r="K383" s="354">
        <f t="shared" si="36"/>
        <v>110.51532191537186</v>
      </c>
      <c r="L383" s="341">
        <v>36</v>
      </c>
      <c r="M383" s="343">
        <f t="shared" si="37"/>
        <v>162.25</v>
      </c>
      <c r="N383" s="344">
        <f ca="1" t="shared" si="33"/>
        <v>25</v>
      </c>
      <c r="O383" s="348">
        <f t="shared" si="38"/>
        <v>1784.75</v>
      </c>
      <c r="P383" s="340" t="s">
        <v>3217</v>
      </c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</row>
    <row r="384" spans="2:46" s="3" customFormat="1" ht="51" customHeight="1">
      <c r="B384" s="355">
        <v>43819</v>
      </c>
      <c r="C384" s="340" t="s">
        <v>3097</v>
      </c>
      <c r="D384" s="341" t="s">
        <v>3223</v>
      </c>
      <c r="E384" s="339" t="s">
        <v>2033</v>
      </c>
      <c r="F384" s="341" t="s">
        <v>42</v>
      </c>
      <c r="G384" s="341" t="s">
        <v>3199</v>
      </c>
      <c r="H384" s="341" t="s">
        <v>3200</v>
      </c>
      <c r="I384" s="353">
        <f>4950+891</f>
        <v>5841</v>
      </c>
      <c r="J384" s="353">
        <v>52.8524</v>
      </c>
      <c r="K384" s="354">
        <f t="shared" si="36"/>
        <v>110.51532191537186</v>
      </c>
      <c r="L384" s="341">
        <v>36</v>
      </c>
      <c r="M384" s="343">
        <f t="shared" si="37"/>
        <v>162.25</v>
      </c>
      <c r="N384" s="344">
        <f ca="1" t="shared" si="33"/>
        <v>25</v>
      </c>
      <c r="O384" s="348">
        <f t="shared" si="38"/>
        <v>1784.75</v>
      </c>
      <c r="P384" s="340" t="s">
        <v>3217</v>
      </c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</row>
    <row r="385" spans="2:46" s="3" customFormat="1" ht="52.5" customHeight="1">
      <c r="B385" s="355">
        <v>43819</v>
      </c>
      <c r="C385" s="340" t="s">
        <v>3097</v>
      </c>
      <c r="D385" s="341" t="s">
        <v>3224</v>
      </c>
      <c r="E385" s="339" t="s">
        <v>3810</v>
      </c>
      <c r="F385" s="341" t="s">
        <v>42</v>
      </c>
      <c r="G385" s="341" t="s">
        <v>3199</v>
      </c>
      <c r="H385" s="341" t="s">
        <v>3200</v>
      </c>
      <c r="I385" s="353">
        <v>528050</v>
      </c>
      <c r="J385" s="353">
        <v>52.8524</v>
      </c>
      <c r="K385" s="354">
        <f t="shared" si="36"/>
        <v>9991.031627702809</v>
      </c>
      <c r="L385" s="341">
        <v>36</v>
      </c>
      <c r="M385" s="343">
        <f t="shared" si="37"/>
        <v>14668.055555555555</v>
      </c>
      <c r="N385" s="344">
        <f ca="1" t="shared" si="33"/>
        <v>25</v>
      </c>
      <c r="O385" s="348">
        <f t="shared" si="38"/>
        <v>161348.61111111112</v>
      </c>
      <c r="P385" s="340" t="s">
        <v>3217</v>
      </c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</row>
    <row r="386" spans="2:46" s="3" customFormat="1" ht="60" customHeight="1">
      <c r="B386" s="355">
        <v>43819</v>
      </c>
      <c r="C386" s="340" t="s">
        <v>3097</v>
      </c>
      <c r="D386" s="341" t="s">
        <v>3225</v>
      </c>
      <c r="E386" s="339" t="s">
        <v>3226</v>
      </c>
      <c r="F386" s="341" t="s">
        <v>3227</v>
      </c>
      <c r="G386" s="341" t="s">
        <v>3199</v>
      </c>
      <c r="H386" s="341" t="s">
        <v>3200</v>
      </c>
      <c r="I386" s="353">
        <v>3481</v>
      </c>
      <c r="J386" s="353">
        <v>52.8524</v>
      </c>
      <c r="K386" s="354">
        <f t="shared" si="36"/>
        <v>65.8626665960297</v>
      </c>
      <c r="L386" s="341">
        <v>36</v>
      </c>
      <c r="M386" s="343">
        <f t="shared" si="37"/>
        <v>96.69444444444444</v>
      </c>
      <c r="N386" s="344">
        <f ca="1" t="shared" si="33"/>
        <v>25</v>
      </c>
      <c r="O386" s="348">
        <f t="shared" si="38"/>
        <v>1063.6388888888891</v>
      </c>
      <c r="P386" s="340" t="s">
        <v>3217</v>
      </c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</row>
    <row r="387" spans="2:46" s="3" customFormat="1" ht="51" customHeight="1">
      <c r="B387" s="355">
        <v>43819</v>
      </c>
      <c r="C387" s="340" t="s">
        <v>3097</v>
      </c>
      <c r="D387" s="341" t="s">
        <v>3228</v>
      </c>
      <c r="E387" s="339" t="s">
        <v>3226</v>
      </c>
      <c r="F387" s="341" t="s">
        <v>42</v>
      </c>
      <c r="G387" s="341" t="s">
        <v>3199</v>
      </c>
      <c r="H387" s="341" t="s">
        <v>3200</v>
      </c>
      <c r="I387" s="353">
        <v>3481</v>
      </c>
      <c r="J387" s="353">
        <v>52.8524</v>
      </c>
      <c r="K387" s="354">
        <f t="shared" si="36"/>
        <v>65.8626665960297</v>
      </c>
      <c r="L387" s="341">
        <v>36</v>
      </c>
      <c r="M387" s="343">
        <f t="shared" si="37"/>
        <v>96.69444444444444</v>
      </c>
      <c r="N387" s="344">
        <f ca="1" t="shared" si="33"/>
        <v>25</v>
      </c>
      <c r="O387" s="348">
        <f t="shared" si="38"/>
        <v>1063.6388888888891</v>
      </c>
      <c r="P387" s="340" t="s">
        <v>3217</v>
      </c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</row>
    <row r="388" spans="2:46" s="3" customFormat="1" ht="57" customHeight="1">
      <c r="B388" s="355">
        <v>43819</v>
      </c>
      <c r="C388" s="340" t="s">
        <v>3097</v>
      </c>
      <c r="D388" s="341" t="s">
        <v>3229</v>
      </c>
      <c r="E388" s="339" t="s">
        <v>3226</v>
      </c>
      <c r="F388" s="341" t="s">
        <v>42</v>
      </c>
      <c r="G388" s="341" t="s">
        <v>3199</v>
      </c>
      <c r="H388" s="341" t="s">
        <v>3200</v>
      </c>
      <c r="I388" s="353">
        <v>3481</v>
      </c>
      <c r="J388" s="353">
        <v>52.8524</v>
      </c>
      <c r="K388" s="354">
        <f t="shared" si="36"/>
        <v>65.8626665960297</v>
      </c>
      <c r="L388" s="341">
        <v>36</v>
      </c>
      <c r="M388" s="343">
        <f t="shared" si="37"/>
        <v>96.69444444444444</v>
      </c>
      <c r="N388" s="344">
        <f ca="1" t="shared" si="33"/>
        <v>25</v>
      </c>
      <c r="O388" s="348">
        <f t="shared" si="38"/>
        <v>1063.6388888888891</v>
      </c>
      <c r="P388" s="340" t="s">
        <v>3217</v>
      </c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</row>
    <row r="389" spans="2:46" s="3" customFormat="1" ht="54.75" customHeight="1">
      <c r="B389" s="355">
        <v>43819</v>
      </c>
      <c r="C389" s="340" t="s">
        <v>3097</v>
      </c>
      <c r="D389" s="341" t="s">
        <v>3230</v>
      </c>
      <c r="E389" s="339" t="s">
        <v>3226</v>
      </c>
      <c r="F389" s="341" t="s">
        <v>42</v>
      </c>
      <c r="G389" s="341" t="s">
        <v>3199</v>
      </c>
      <c r="H389" s="341" t="s">
        <v>3200</v>
      </c>
      <c r="I389" s="353">
        <v>3481</v>
      </c>
      <c r="J389" s="353">
        <v>52.8524</v>
      </c>
      <c r="K389" s="354">
        <f t="shared" si="36"/>
        <v>65.8626665960297</v>
      </c>
      <c r="L389" s="341">
        <v>36</v>
      </c>
      <c r="M389" s="343">
        <f t="shared" si="37"/>
        <v>96.69444444444444</v>
      </c>
      <c r="N389" s="344">
        <f ca="1" t="shared" si="33"/>
        <v>25</v>
      </c>
      <c r="O389" s="348">
        <f t="shared" si="38"/>
        <v>1063.6388888888891</v>
      </c>
      <c r="P389" s="340" t="s">
        <v>3217</v>
      </c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</row>
    <row r="390" spans="2:46" s="3" customFormat="1" ht="51.75" customHeight="1">
      <c r="B390" s="355">
        <v>43819</v>
      </c>
      <c r="C390" s="340" t="s">
        <v>3097</v>
      </c>
      <c r="D390" s="341" t="s">
        <v>3231</v>
      </c>
      <c r="E390" s="339" t="s">
        <v>3226</v>
      </c>
      <c r="F390" s="341" t="s">
        <v>42</v>
      </c>
      <c r="G390" s="341" t="s">
        <v>3199</v>
      </c>
      <c r="H390" s="341" t="s">
        <v>3200</v>
      </c>
      <c r="I390" s="353">
        <v>3481</v>
      </c>
      <c r="J390" s="353">
        <v>52.8524</v>
      </c>
      <c r="K390" s="354">
        <f t="shared" si="36"/>
        <v>65.8626665960297</v>
      </c>
      <c r="L390" s="341">
        <v>36</v>
      </c>
      <c r="M390" s="343">
        <f t="shared" si="37"/>
        <v>96.69444444444444</v>
      </c>
      <c r="N390" s="344">
        <f ca="1" t="shared" si="33"/>
        <v>25</v>
      </c>
      <c r="O390" s="348">
        <f t="shared" si="38"/>
        <v>1063.6388888888891</v>
      </c>
      <c r="P390" s="340" t="s">
        <v>3217</v>
      </c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</row>
    <row r="391" spans="2:46" s="3" customFormat="1" ht="47.25" customHeight="1">
      <c r="B391" s="355">
        <v>43819</v>
      </c>
      <c r="C391" s="340" t="s">
        <v>3097</v>
      </c>
      <c r="D391" s="341" t="s">
        <v>3232</v>
      </c>
      <c r="E391" s="339" t="s">
        <v>3233</v>
      </c>
      <c r="F391" s="341" t="s">
        <v>42</v>
      </c>
      <c r="G391" s="341" t="s">
        <v>3199</v>
      </c>
      <c r="H391" s="341" t="s">
        <v>3200</v>
      </c>
      <c r="I391" s="353">
        <v>3481</v>
      </c>
      <c r="J391" s="353">
        <v>52.8524</v>
      </c>
      <c r="K391" s="354">
        <f t="shared" si="36"/>
        <v>65.8626665960297</v>
      </c>
      <c r="L391" s="341">
        <v>36</v>
      </c>
      <c r="M391" s="343">
        <f t="shared" si="37"/>
        <v>96.69444444444444</v>
      </c>
      <c r="N391" s="344">
        <f ca="1" t="shared" si="33"/>
        <v>25</v>
      </c>
      <c r="O391" s="348">
        <f t="shared" si="38"/>
        <v>1063.6388888888891</v>
      </c>
      <c r="P391" s="340" t="s">
        <v>3217</v>
      </c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</row>
    <row r="392" spans="2:46" s="3" customFormat="1" ht="54" customHeight="1">
      <c r="B392" s="355">
        <v>43819</v>
      </c>
      <c r="C392" s="340" t="s">
        <v>3097</v>
      </c>
      <c r="D392" s="341" t="s">
        <v>3234</v>
      </c>
      <c r="E392" s="339" t="s">
        <v>3233</v>
      </c>
      <c r="F392" s="341" t="s">
        <v>42</v>
      </c>
      <c r="G392" s="341" t="s">
        <v>3199</v>
      </c>
      <c r="H392" s="341" t="s">
        <v>3200</v>
      </c>
      <c r="I392" s="353">
        <v>3481</v>
      </c>
      <c r="J392" s="353">
        <v>52.8524</v>
      </c>
      <c r="K392" s="354">
        <f t="shared" si="36"/>
        <v>65.8626665960297</v>
      </c>
      <c r="L392" s="341">
        <v>36</v>
      </c>
      <c r="M392" s="343">
        <f t="shared" si="37"/>
        <v>96.69444444444444</v>
      </c>
      <c r="N392" s="344">
        <f ca="1" t="shared" si="33"/>
        <v>25</v>
      </c>
      <c r="O392" s="348">
        <f t="shared" si="38"/>
        <v>1063.6388888888891</v>
      </c>
      <c r="P392" s="340" t="s">
        <v>3217</v>
      </c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</row>
    <row r="393" spans="2:46" s="3" customFormat="1" ht="51.75" customHeight="1">
      <c r="B393" s="355">
        <v>43819</v>
      </c>
      <c r="C393" s="340" t="s">
        <v>3097</v>
      </c>
      <c r="D393" s="341" t="s">
        <v>3235</v>
      </c>
      <c r="E393" s="339" t="s">
        <v>3236</v>
      </c>
      <c r="F393" s="341" t="s">
        <v>42</v>
      </c>
      <c r="G393" s="341" t="s">
        <v>3199</v>
      </c>
      <c r="H393" s="341" t="s">
        <v>3200</v>
      </c>
      <c r="I393" s="353">
        <v>8071.2</v>
      </c>
      <c r="J393" s="353">
        <v>52.8524</v>
      </c>
      <c r="K393" s="354">
        <f t="shared" si="36"/>
        <v>152.7120811921502</v>
      </c>
      <c r="L393" s="341">
        <v>36</v>
      </c>
      <c r="M393" s="343">
        <f t="shared" si="37"/>
        <v>224.2</v>
      </c>
      <c r="N393" s="344">
        <f ca="1" t="shared" si="33"/>
        <v>25</v>
      </c>
      <c r="O393" s="348">
        <f t="shared" si="38"/>
        <v>2466.2</v>
      </c>
      <c r="P393" s="340" t="s">
        <v>3217</v>
      </c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</row>
    <row r="394" spans="2:46" s="3" customFormat="1" ht="78" customHeight="1">
      <c r="B394" s="355">
        <v>43819</v>
      </c>
      <c r="C394" s="340" t="s">
        <v>3097</v>
      </c>
      <c r="D394" s="341" t="s">
        <v>3237</v>
      </c>
      <c r="E394" s="339" t="s">
        <v>3811</v>
      </c>
      <c r="F394" s="341" t="s">
        <v>42</v>
      </c>
      <c r="G394" s="341" t="s">
        <v>3199</v>
      </c>
      <c r="H394" s="341" t="s">
        <v>3200</v>
      </c>
      <c r="I394" s="353">
        <v>55224</v>
      </c>
      <c r="J394" s="353">
        <v>52.8524</v>
      </c>
      <c r="K394" s="354">
        <f t="shared" si="36"/>
        <v>1044.8721344726066</v>
      </c>
      <c r="L394" s="341">
        <v>36</v>
      </c>
      <c r="M394" s="343">
        <f t="shared" si="37"/>
        <v>1534</v>
      </c>
      <c r="N394" s="344">
        <f ca="1" t="shared" si="33"/>
        <v>25</v>
      </c>
      <c r="O394" s="348">
        <f t="shared" si="38"/>
        <v>16874</v>
      </c>
      <c r="P394" s="340" t="s">
        <v>3217</v>
      </c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</row>
    <row r="395" spans="2:46" s="3" customFormat="1" ht="54" customHeight="1">
      <c r="B395" s="355">
        <v>43819</v>
      </c>
      <c r="C395" s="340" t="s">
        <v>3097</v>
      </c>
      <c r="D395" s="341" t="s">
        <v>3238</v>
      </c>
      <c r="E395" s="339" t="s">
        <v>3239</v>
      </c>
      <c r="F395" s="341" t="s">
        <v>42</v>
      </c>
      <c r="G395" s="341" t="s">
        <v>3199</v>
      </c>
      <c r="H395" s="341" t="s">
        <v>3200</v>
      </c>
      <c r="I395" s="353">
        <v>3481</v>
      </c>
      <c r="J395" s="353">
        <v>52.8524</v>
      </c>
      <c r="K395" s="354">
        <f t="shared" si="36"/>
        <v>65.8626665960297</v>
      </c>
      <c r="L395" s="341">
        <v>36</v>
      </c>
      <c r="M395" s="343">
        <f t="shared" si="37"/>
        <v>96.69444444444444</v>
      </c>
      <c r="N395" s="344">
        <f ca="1" t="shared" si="33"/>
        <v>25</v>
      </c>
      <c r="O395" s="348">
        <f t="shared" si="38"/>
        <v>1063.6388888888891</v>
      </c>
      <c r="P395" s="340" t="s">
        <v>3217</v>
      </c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</row>
    <row r="396" spans="2:46" s="3" customFormat="1" ht="56.25" customHeight="1">
      <c r="B396" s="355">
        <v>43819</v>
      </c>
      <c r="C396" s="340" t="s">
        <v>3097</v>
      </c>
      <c r="D396" s="341" t="s">
        <v>3240</v>
      </c>
      <c r="E396" s="339" t="s">
        <v>3239</v>
      </c>
      <c r="F396" s="341" t="s">
        <v>42</v>
      </c>
      <c r="G396" s="341" t="s">
        <v>3199</v>
      </c>
      <c r="H396" s="341" t="s">
        <v>3200</v>
      </c>
      <c r="I396" s="353">
        <v>3481</v>
      </c>
      <c r="J396" s="353">
        <v>52.8524</v>
      </c>
      <c r="K396" s="354">
        <f t="shared" si="36"/>
        <v>65.8626665960297</v>
      </c>
      <c r="L396" s="341">
        <v>36</v>
      </c>
      <c r="M396" s="343">
        <f t="shared" si="37"/>
        <v>96.69444444444444</v>
      </c>
      <c r="N396" s="344">
        <f ca="1" t="shared" si="33"/>
        <v>25</v>
      </c>
      <c r="O396" s="348">
        <f t="shared" si="38"/>
        <v>1063.6388888888891</v>
      </c>
      <c r="P396" s="340" t="s">
        <v>3217</v>
      </c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</row>
    <row r="397" spans="2:46" s="3" customFormat="1" ht="55.5" customHeight="1">
      <c r="B397" s="355">
        <v>43819</v>
      </c>
      <c r="C397" s="340" t="s">
        <v>3097</v>
      </c>
      <c r="D397" s="341" t="s">
        <v>3241</v>
      </c>
      <c r="E397" s="339" t="s">
        <v>3239</v>
      </c>
      <c r="F397" s="341" t="s">
        <v>42</v>
      </c>
      <c r="G397" s="341" t="s">
        <v>3199</v>
      </c>
      <c r="H397" s="341" t="s">
        <v>3200</v>
      </c>
      <c r="I397" s="353">
        <v>3481</v>
      </c>
      <c r="J397" s="353">
        <v>52.8524</v>
      </c>
      <c r="K397" s="354">
        <f t="shared" si="36"/>
        <v>65.8626665960297</v>
      </c>
      <c r="L397" s="341">
        <v>36</v>
      </c>
      <c r="M397" s="343">
        <f t="shared" si="37"/>
        <v>96.69444444444444</v>
      </c>
      <c r="N397" s="344">
        <f ca="1" t="shared" si="33"/>
        <v>25</v>
      </c>
      <c r="O397" s="348">
        <f t="shared" si="38"/>
        <v>1063.6388888888891</v>
      </c>
      <c r="P397" s="340" t="s">
        <v>3217</v>
      </c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</row>
    <row r="398" spans="2:46" s="3" customFormat="1" ht="55.5" customHeight="1">
      <c r="B398" s="355">
        <v>43819</v>
      </c>
      <c r="C398" s="340" t="s">
        <v>3097</v>
      </c>
      <c r="D398" s="341" t="s">
        <v>3242</v>
      </c>
      <c r="E398" s="339" t="s">
        <v>3239</v>
      </c>
      <c r="F398" s="341" t="s">
        <v>42</v>
      </c>
      <c r="G398" s="341" t="s">
        <v>3199</v>
      </c>
      <c r="H398" s="341" t="s">
        <v>3200</v>
      </c>
      <c r="I398" s="353">
        <v>3481</v>
      </c>
      <c r="J398" s="353">
        <v>52.8524</v>
      </c>
      <c r="K398" s="354">
        <f t="shared" si="36"/>
        <v>65.8626665960297</v>
      </c>
      <c r="L398" s="341">
        <v>36</v>
      </c>
      <c r="M398" s="343">
        <f t="shared" si="37"/>
        <v>96.69444444444444</v>
      </c>
      <c r="N398" s="344">
        <f ca="1" t="shared" si="33"/>
        <v>25</v>
      </c>
      <c r="O398" s="348">
        <f t="shared" si="38"/>
        <v>1063.6388888888891</v>
      </c>
      <c r="P398" s="340" t="s">
        <v>3217</v>
      </c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</row>
    <row r="399" spans="2:46" s="3" customFormat="1" ht="56.25" customHeight="1">
      <c r="B399" s="355">
        <v>43819</v>
      </c>
      <c r="C399" s="340" t="s">
        <v>3097</v>
      </c>
      <c r="D399" s="341" t="s">
        <v>3243</v>
      </c>
      <c r="E399" s="339" t="s">
        <v>3244</v>
      </c>
      <c r="F399" s="341" t="s">
        <v>42</v>
      </c>
      <c r="G399" s="341" t="s">
        <v>3199</v>
      </c>
      <c r="H399" s="341" t="s">
        <v>3200</v>
      </c>
      <c r="I399" s="353">
        <v>9381</v>
      </c>
      <c r="J399" s="353">
        <v>52.8524</v>
      </c>
      <c r="K399" s="354">
        <f t="shared" si="36"/>
        <v>177.4943048943851</v>
      </c>
      <c r="L399" s="341">
        <v>36</v>
      </c>
      <c r="M399" s="343">
        <f t="shared" si="37"/>
        <v>260.5833333333333</v>
      </c>
      <c r="N399" s="344">
        <f ca="1" t="shared" si="33"/>
        <v>25</v>
      </c>
      <c r="O399" s="348">
        <f t="shared" si="38"/>
        <v>2866.416666666667</v>
      </c>
      <c r="P399" s="340" t="s">
        <v>3217</v>
      </c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</row>
    <row r="400" spans="2:46" s="3" customFormat="1" ht="54" customHeight="1">
      <c r="B400" s="355">
        <v>43819</v>
      </c>
      <c r="C400" s="340" t="s">
        <v>3097</v>
      </c>
      <c r="D400" s="341" t="s">
        <v>3245</v>
      </c>
      <c r="E400" s="339" t="s">
        <v>3246</v>
      </c>
      <c r="F400" s="341" t="s">
        <v>42</v>
      </c>
      <c r="G400" s="341" t="s">
        <v>3199</v>
      </c>
      <c r="H400" s="341" t="s">
        <v>3200</v>
      </c>
      <c r="I400" s="353">
        <v>2950</v>
      </c>
      <c r="J400" s="353">
        <v>52.8524</v>
      </c>
      <c r="K400" s="354">
        <f t="shared" si="36"/>
        <v>55.815819149177706</v>
      </c>
      <c r="L400" s="341">
        <v>36</v>
      </c>
      <c r="M400" s="343">
        <f t="shared" si="37"/>
        <v>81.94444444444444</v>
      </c>
      <c r="N400" s="344">
        <f ca="1" t="shared" si="33"/>
        <v>25</v>
      </c>
      <c r="O400" s="348">
        <f t="shared" si="38"/>
        <v>901.3888888888891</v>
      </c>
      <c r="P400" s="340" t="s">
        <v>3217</v>
      </c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</row>
    <row r="401" spans="2:46" s="3" customFormat="1" ht="60" customHeight="1">
      <c r="B401" s="355">
        <v>43819</v>
      </c>
      <c r="C401" s="340" t="s">
        <v>3097</v>
      </c>
      <c r="D401" s="341" t="s">
        <v>3247</v>
      </c>
      <c r="E401" s="339" t="s">
        <v>3248</v>
      </c>
      <c r="F401" s="341" t="s">
        <v>42</v>
      </c>
      <c r="G401" s="341" t="s">
        <v>3199</v>
      </c>
      <c r="H401" s="341" t="s">
        <v>3200</v>
      </c>
      <c r="I401" s="353">
        <v>105020</v>
      </c>
      <c r="J401" s="353">
        <v>52.8524</v>
      </c>
      <c r="K401" s="354">
        <f t="shared" si="36"/>
        <v>1987.0431617107263</v>
      </c>
      <c r="L401" s="341">
        <v>36</v>
      </c>
      <c r="M401" s="343">
        <f t="shared" si="37"/>
        <v>2917.222222222222</v>
      </c>
      <c r="N401" s="344">
        <f ca="1" t="shared" si="33"/>
        <v>25</v>
      </c>
      <c r="O401" s="348">
        <f t="shared" si="38"/>
        <v>32089.444444444453</v>
      </c>
      <c r="P401" s="340" t="s">
        <v>3217</v>
      </c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</row>
    <row r="402" spans="2:46" s="3" customFormat="1" ht="46.5" customHeight="1">
      <c r="B402" s="355">
        <v>43819</v>
      </c>
      <c r="C402" s="340" t="s">
        <v>3098</v>
      </c>
      <c r="D402" s="341" t="s">
        <v>3249</v>
      </c>
      <c r="E402" s="339" t="s">
        <v>3250</v>
      </c>
      <c r="F402" s="341" t="s">
        <v>42</v>
      </c>
      <c r="G402" s="341" t="s">
        <v>3199</v>
      </c>
      <c r="H402" s="341" t="s">
        <v>3200</v>
      </c>
      <c r="I402" s="353">
        <v>21476</v>
      </c>
      <c r="J402" s="353">
        <v>52.8524</v>
      </c>
      <c r="K402" s="354">
        <f t="shared" si="36"/>
        <v>406.3391634060137</v>
      </c>
      <c r="L402" s="341">
        <v>36</v>
      </c>
      <c r="M402" s="343">
        <f t="shared" si="37"/>
        <v>596.5555555555555</v>
      </c>
      <c r="N402" s="344">
        <f ca="1" t="shared" si="33"/>
        <v>25</v>
      </c>
      <c r="O402" s="348">
        <f t="shared" si="38"/>
        <v>6562.111111111111</v>
      </c>
      <c r="P402" s="340" t="s">
        <v>828</v>
      </c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</row>
    <row r="403" spans="2:46" s="3" customFormat="1" ht="46.5" customHeight="1">
      <c r="B403" s="355">
        <v>43819</v>
      </c>
      <c r="C403" s="340" t="s">
        <v>3098</v>
      </c>
      <c r="D403" s="341" t="s">
        <v>3251</v>
      </c>
      <c r="E403" s="339" t="s">
        <v>3250</v>
      </c>
      <c r="F403" s="341" t="s">
        <v>42</v>
      </c>
      <c r="G403" s="341" t="s">
        <v>3199</v>
      </c>
      <c r="H403" s="341" t="s">
        <v>3200</v>
      </c>
      <c r="I403" s="353">
        <v>21476</v>
      </c>
      <c r="J403" s="353">
        <v>52.8524</v>
      </c>
      <c r="K403" s="354">
        <f t="shared" si="36"/>
        <v>406.3391634060137</v>
      </c>
      <c r="L403" s="341">
        <v>36</v>
      </c>
      <c r="M403" s="343">
        <f t="shared" si="37"/>
        <v>596.5555555555555</v>
      </c>
      <c r="N403" s="344">
        <f ca="1" t="shared" si="33"/>
        <v>25</v>
      </c>
      <c r="O403" s="348">
        <f t="shared" si="38"/>
        <v>6562.111111111111</v>
      </c>
      <c r="P403" s="340" t="s">
        <v>828</v>
      </c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</row>
    <row r="404" spans="2:46" s="3" customFormat="1" ht="78" customHeight="1">
      <c r="B404" s="355">
        <v>43886</v>
      </c>
      <c r="C404" s="340" t="s">
        <v>3342</v>
      </c>
      <c r="D404" s="341" t="s">
        <v>3347</v>
      </c>
      <c r="E404" s="339" t="s">
        <v>3344</v>
      </c>
      <c r="F404" s="341" t="s">
        <v>42</v>
      </c>
      <c r="G404" s="341" t="s">
        <v>81</v>
      </c>
      <c r="H404" s="341" t="s">
        <v>437</v>
      </c>
      <c r="I404" s="353">
        <f>37400+6732</f>
        <v>44132</v>
      </c>
      <c r="J404" s="353">
        <v>53.3888</v>
      </c>
      <c r="K404" s="354">
        <f t="shared" si="36"/>
        <v>826.6153200671301</v>
      </c>
      <c r="L404" s="341">
        <v>36</v>
      </c>
      <c r="M404" s="343">
        <f t="shared" si="37"/>
        <v>1225.888888888889</v>
      </c>
      <c r="N404" s="344">
        <f aca="true" ca="1" t="shared" si="39" ref="N404:N426">IF(B404&lt;&gt;0,(ROUND((NOW()-B404)/30,0)),0)</f>
        <v>23</v>
      </c>
      <c r="O404" s="348">
        <f t="shared" si="38"/>
        <v>15936.555555555555</v>
      </c>
      <c r="P404" s="340" t="s">
        <v>3343</v>
      </c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</row>
    <row r="405" spans="2:46" s="3" customFormat="1" ht="78" customHeight="1">
      <c r="B405" s="355">
        <v>43886</v>
      </c>
      <c r="C405" s="340" t="s">
        <v>3342</v>
      </c>
      <c r="D405" s="341" t="s">
        <v>3348</v>
      </c>
      <c r="E405" s="339" t="s">
        <v>3345</v>
      </c>
      <c r="F405" s="341" t="s">
        <v>42</v>
      </c>
      <c r="G405" s="341" t="s">
        <v>81</v>
      </c>
      <c r="H405" s="341" t="s">
        <v>437</v>
      </c>
      <c r="I405" s="353">
        <f>131400+23652</f>
        <v>155052</v>
      </c>
      <c r="J405" s="353">
        <v>53.3888</v>
      </c>
      <c r="K405" s="354">
        <f aca="true" t="shared" si="40" ref="K405:K426">+I405/J405</f>
        <v>2904.204627187725</v>
      </c>
      <c r="L405" s="341">
        <v>36</v>
      </c>
      <c r="M405" s="343">
        <f aca="true" t="shared" si="41" ref="M405:M426">IF(AND(I405&lt;&gt;0,L405&lt;&gt;0),I405/L405,0)</f>
        <v>4307</v>
      </c>
      <c r="N405" s="344">
        <f ca="1" t="shared" si="39"/>
        <v>23</v>
      </c>
      <c r="O405" s="348">
        <f aca="true" t="shared" si="42" ref="O405:O426">IF(OR(I405=0,L405=0,N405=0),0,I405-(M405*N405))</f>
        <v>55991</v>
      </c>
      <c r="P405" s="340" t="s">
        <v>3343</v>
      </c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</row>
    <row r="406" spans="2:46" s="3" customFormat="1" ht="81" customHeight="1">
      <c r="B406" s="355">
        <v>43886</v>
      </c>
      <c r="C406" s="340" t="s">
        <v>3342</v>
      </c>
      <c r="D406" s="341" t="s">
        <v>3349</v>
      </c>
      <c r="E406" s="339" t="s">
        <v>3346</v>
      </c>
      <c r="F406" s="341" t="s">
        <v>42</v>
      </c>
      <c r="G406" s="341" t="s">
        <v>81</v>
      </c>
      <c r="H406" s="341" t="s">
        <v>437</v>
      </c>
      <c r="I406" s="353">
        <f>28777+5179.86</f>
        <v>33956.86</v>
      </c>
      <c r="J406" s="353">
        <v>53.3888</v>
      </c>
      <c r="K406" s="354">
        <f t="shared" si="40"/>
        <v>636.0296541596739</v>
      </c>
      <c r="L406" s="341">
        <v>36</v>
      </c>
      <c r="M406" s="343">
        <f t="shared" si="41"/>
        <v>943.2461111111111</v>
      </c>
      <c r="N406" s="344">
        <f ca="1" t="shared" si="39"/>
        <v>23</v>
      </c>
      <c r="O406" s="348">
        <f t="shared" si="42"/>
        <v>12262.199444444446</v>
      </c>
      <c r="P406" s="340" t="s">
        <v>3343</v>
      </c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</row>
    <row r="407" spans="2:46" s="3" customFormat="1" ht="67.5" customHeight="1">
      <c r="B407" s="355">
        <v>43990</v>
      </c>
      <c r="C407" s="340" t="s">
        <v>3351</v>
      </c>
      <c r="D407" s="341" t="s">
        <v>3378</v>
      </c>
      <c r="E407" s="339" t="s">
        <v>3370</v>
      </c>
      <c r="F407" s="341" t="s">
        <v>3369</v>
      </c>
      <c r="G407" s="341" t="s">
        <v>81</v>
      </c>
      <c r="H407" s="341" t="s">
        <v>437</v>
      </c>
      <c r="I407" s="353">
        <f>73366.11+13205.9</f>
        <v>86572.01</v>
      </c>
      <c r="J407" s="353">
        <v>57.4329</v>
      </c>
      <c r="K407" s="354">
        <f t="shared" si="40"/>
        <v>1507.3591965580704</v>
      </c>
      <c r="L407" s="341">
        <v>36</v>
      </c>
      <c r="M407" s="343">
        <f t="shared" si="41"/>
        <v>2404.7780555555555</v>
      </c>
      <c r="N407" s="344">
        <f ca="1" t="shared" si="39"/>
        <v>19</v>
      </c>
      <c r="O407" s="348">
        <f t="shared" si="42"/>
        <v>40881.22694444444</v>
      </c>
      <c r="P407" s="340" t="s">
        <v>796</v>
      </c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</row>
    <row r="408" spans="2:46" s="3" customFormat="1" ht="31.5" customHeight="1">
      <c r="B408" s="355">
        <v>43990</v>
      </c>
      <c r="C408" s="340" t="s">
        <v>3351</v>
      </c>
      <c r="D408" s="341" t="s">
        <v>3379</v>
      </c>
      <c r="E408" s="339" t="s">
        <v>3371</v>
      </c>
      <c r="F408" s="341" t="s">
        <v>3366</v>
      </c>
      <c r="G408" s="341" t="s">
        <v>81</v>
      </c>
      <c r="H408" s="341" t="s">
        <v>437</v>
      </c>
      <c r="I408" s="353">
        <f>7687.67+1383.78</f>
        <v>9071.45</v>
      </c>
      <c r="J408" s="353">
        <v>57.4329</v>
      </c>
      <c r="K408" s="354">
        <f t="shared" si="40"/>
        <v>157.94866705320473</v>
      </c>
      <c r="L408" s="341">
        <v>36</v>
      </c>
      <c r="M408" s="343">
        <f t="shared" si="41"/>
        <v>251.98472222222225</v>
      </c>
      <c r="N408" s="344">
        <f ca="1" t="shared" si="39"/>
        <v>19</v>
      </c>
      <c r="O408" s="348">
        <f t="shared" si="42"/>
        <v>4283.740277777778</v>
      </c>
      <c r="P408" s="340" t="s">
        <v>796</v>
      </c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</row>
    <row r="409" spans="2:46" s="3" customFormat="1" ht="30.75" customHeight="1">
      <c r="B409" s="355">
        <v>43990</v>
      </c>
      <c r="C409" s="340" t="s">
        <v>3351</v>
      </c>
      <c r="D409" s="341" t="s">
        <v>3380</v>
      </c>
      <c r="E409" s="339" t="s">
        <v>3371</v>
      </c>
      <c r="F409" s="341" t="s">
        <v>3367</v>
      </c>
      <c r="G409" s="341" t="s">
        <v>81</v>
      </c>
      <c r="H409" s="341" t="s">
        <v>437</v>
      </c>
      <c r="I409" s="353">
        <f>7687.67+1383.78</f>
        <v>9071.45</v>
      </c>
      <c r="J409" s="353">
        <v>57.4329</v>
      </c>
      <c r="K409" s="354">
        <f t="shared" si="40"/>
        <v>157.94866705320473</v>
      </c>
      <c r="L409" s="341">
        <v>36</v>
      </c>
      <c r="M409" s="343">
        <f t="shared" si="41"/>
        <v>251.98472222222225</v>
      </c>
      <c r="N409" s="344">
        <f ca="1" t="shared" si="39"/>
        <v>19</v>
      </c>
      <c r="O409" s="348">
        <f t="shared" si="42"/>
        <v>4283.740277777778</v>
      </c>
      <c r="P409" s="340" t="s">
        <v>796</v>
      </c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</row>
    <row r="410" spans="2:46" s="3" customFormat="1" ht="26.25" customHeight="1">
      <c r="B410" s="355">
        <v>43990</v>
      </c>
      <c r="C410" s="340" t="s">
        <v>3351</v>
      </c>
      <c r="D410" s="341" t="s">
        <v>3381</v>
      </c>
      <c r="E410" s="339" t="s">
        <v>3371</v>
      </c>
      <c r="F410" s="341" t="s">
        <v>3368</v>
      </c>
      <c r="G410" s="341" t="s">
        <v>81</v>
      </c>
      <c r="H410" s="341" t="s">
        <v>437</v>
      </c>
      <c r="I410" s="353">
        <f>7687.67+1383.78</f>
        <v>9071.45</v>
      </c>
      <c r="J410" s="353">
        <v>57.4329</v>
      </c>
      <c r="K410" s="354">
        <f t="shared" si="40"/>
        <v>157.94866705320473</v>
      </c>
      <c r="L410" s="341">
        <v>36</v>
      </c>
      <c r="M410" s="343">
        <f t="shared" si="41"/>
        <v>251.98472222222225</v>
      </c>
      <c r="N410" s="344">
        <f ca="1" t="shared" si="39"/>
        <v>19</v>
      </c>
      <c r="O410" s="348">
        <f t="shared" si="42"/>
        <v>4283.740277777778</v>
      </c>
      <c r="P410" s="340" t="s">
        <v>796</v>
      </c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</row>
    <row r="411" spans="2:46" s="3" customFormat="1" ht="28.5" customHeight="1">
      <c r="B411" s="355">
        <v>43990</v>
      </c>
      <c r="C411" s="340" t="s">
        <v>3351</v>
      </c>
      <c r="D411" s="341" t="s">
        <v>3382</v>
      </c>
      <c r="E411" s="339" t="s">
        <v>3372</v>
      </c>
      <c r="F411" s="341" t="s">
        <v>3365</v>
      </c>
      <c r="G411" s="341" t="s">
        <v>81</v>
      </c>
      <c r="H411" s="341" t="s">
        <v>437</v>
      </c>
      <c r="I411" s="353">
        <f>7995.18+1439.13</f>
        <v>9434.310000000001</v>
      </c>
      <c r="J411" s="353">
        <v>57.4329</v>
      </c>
      <c r="K411" s="354">
        <f t="shared" si="40"/>
        <v>164.26664855857882</v>
      </c>
      <c r="L411" s="341">
        <v>36</v>
      </c>
      <c r="M411" s="343">
        <f t="shared" si="41"/>
        <v>262.0641666666667</v>
      </c>
      <c r="N411" s="344">
        <f ca="1" t="shared" si="39"/>
        <v>19</v>
      </c>
      <c r="O411" s="348">
        <f t="shared" si="42"/>
        <v>4455.090833333334</v>
      </c>
      <c r="P411" s="340" t="s">
        <v>796</v>
      </c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</row>
    <row r="412" spans="2:46" s="3" customFormat="1" ht="25.5" customHeight="1">
      <c r="B412" s="355">
        <v>43990</v>
      </c>
      <c r="C412" s="340" t="s">
        <v>3351</v>
      </c>
      <c r="D412" s="341" t="s">
        <v>3383</v>
      </c>
      <c r="E412" s="339" t="s">
        <v>3361</v>
      </c>
      <c r="F412" s="341" t="s">
        <v>3363</v>
      </c>
      <c r="G412" s="341" t="s">
        <v>81</v>
      </c>
      <c r="H412" s="341" t="s">
        <v>437</v>
      </c>
      <c r="I412" s="353">
        <f>64790.63+11662.31</f>
        <v>76452.94</v>
      </c>
      <c r="J412" s="353">
        <v>57.4329</v>
      </c>
      <c r="K412" s="354">
        <f t="shared" si="40"/>
        <v>1331.1697650649717</v>
      </c>
      <c r="L412" s="341">
        <v>36</v>
      </c>
      <c r="M412" s="343">
        <f t="shared" si="41"/>
        <v>2123.692777777778</v>
      </c>
      <c r="N412" s="344">
        <f ca="1" t="shared" si="39"/>
        <v>19</v>
      </c>
      <c r="O412" s="348">
        <f t="shared" si="42"/>
        <v>36102.77722222223</v>
      </c>
      <c r="P412" s="340" t="s">
        <v>796</v>
      </c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</row>
    <row r="413" spans="2:46" s="3" customFormat="1" ht="33.75" customHeight="1">
      <c r="B413" s="355">
        <v>43990</v>
      </c>
      <c r="C413" s="340" t="s">
        <v>3351</v>
      </c>
      <c r="D413" s="341" t="s">
        <v>3384</v>
      </c>
      <c r="E413" s="339" t="s">
        <v>3362</v>
      </c>
      <c r="F413" s="341" t="s">
        <v>3364</v>
      </c>
      <c r="G413" s="341" t="s">
        <v>81</v>
      </c>
      <c r="H413" s="341" t="s">
        <v>437</v>
      </c>
      <c r="I413" s="353">
        <f>13957.9+2512.42</f>
        <v>16470.32</v>
      </c>
      <c r="J413" s="353">
        <v>57.4329</v>
      </c>
      <c r="K413" s="354">
        <f t="shared" si="40"/>
        <v>286.77500178469137</v>
      </c>
      <c r="L413" s="341">
        <v>36</v>
      </c>
      <c r="M413" s="343">
        <f t="shared" si="41"/>
        <v>457.50888888888886</v>
      </c>
      <c r="N413" s="344">
        <f ca="1" t="shared" si="39"/>
        <v>19</v>
      </c>
      <c r="O413" s="348">
        <f t="shared" si="42"/>
        <v>7777.651111111112</v>
      </c>
      <c r="P413" s="340" t="s">
        <v>796</v>
      </c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</row>
    <row r="414" spans="2:46" s="3" customFormat="1" ht="51.75" customHeight="1">
      <c r="B414" s="355">
        <v>43990</v>
      </c>
      <c r="C414" s="340" t="s">
        <v>3351</v>
      </c>
      <c r="D414" s="341" t="s">
        <v>3385</v>
      </c>
      <c r="E414" s="339" t="s">
        <v>3812</v>
      </c>
      <c r="F414" s="341" t="s">
        <v>42</v>
      </c>
      <c r="G414" s="341" t="s">
        <v>81</v>
      </c>
      <c r="H414" s="341" t="s">
        <v>437</v>
      </c>
      <c r="I414" s="353">
        <f>7725.6+1390.61</f>
        <v>9116.210000000001</v>
      </c>
      <c r="J414" s="353">
        <v>57.4329</v>
      </c>
      <c r="K414" s="354">
        <f t="shared" si="40"/>
        <v>158.728011296661</v>
      </c>
      <c r="L414" s="341">
        <v>36</v>
      </c>
      <c r="M414" s="343">
        <f t="shared" si="41"/>
        <v>253.22805555555558</v>
      </c>
      <c r="N414" s="344">
        <f ca="1" t="shared" si="39"/>
        <v>19</v>
      </c>
      <c r="O414" s="348">
        <f t="shared" si="42"/>
        <v>4304.876944444445</v>
      </c>
      <c r="P414" s="340" t="s">
        <v>796</v>
      </c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</row>
    <row r="415" spans="2:46" s="3" customFormat="1" ht="36.75" customHeight="1">
      <c r="B415" s="355">
        <v>43990</v>
      </c>
      <c r="C415" s="340" t="s">
        <v>3351</v>
      </c>
      <c r="D415" s="341" t="s">
        <v>3386</v>
      </c>
      <c r="E415" s="339" t="s">
        <v>3374</v>
      </c>
      <c r="F415" s="341" t="s">
        <v>3357</v>
      </c>
      <c r="G415" s="341" t="s">
        <v>81</v>
      </c>
      <c r="H415" s="341" t="s">
        <v>437</v>
      </c>
      <c r="I415" s="353">
        <f>3765.39+677.77</f>
        <v>4443.16</v>
      </c>
      <c r="J415" s="353">
        <v>57.4329</v>
      </c>
      <c r="K415" s="354">
        <f t="shared" si="40"/>
        <v>77.36262664779247</v>
      </c>
      <c r="L415" s="341">
        <v>36</v>
      </c>
      <c r="M415" s="343">
        <f t="shared" si="41"/>
        <v>123.4211111111111</v>
      </c>
      <c r="N415" s="344">
        <f ca="1" t="shared" si="39"/>
        <v>19</v>
      </c>
      <c r="O415" s="348">
        <f t="shared" si="42"/>
        <v>2098.158888888889</v>
      </c>
      <c r="P415" s="340" t="s">
        <v>796</v>
      </c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</row>
    <row r="416" spans="2:46" s="3" customFormat="1" ht="39" customHeight="1">
      <c r="B416" s="355">
        <v>43990</v>
      </c>
      <c r="C416" s="340" t="s">
        <v>3351</v>
      </c>
      <c r="D416" s="341" t="s">
        <v>3387</v>
      </c>
      <c r="E416" s="339" t="s">
        <v>3374</v>
      </c>
      <c r="F416" s="341" t="s">
        <v>3358</v>
      </c>
      <c r="G416" s="341" t="s">
        <v>81</v>
      </c>
      <c r="H416" s="341" t="s">
        <v>437</v>
      </c>
      <c r="I416" s="353">
        <f>3765.39+677.77</f>
        <v>4443.16</v>
      </c>
      <c r="J416" s="353">
        <v>57.4329</v>
      </c>
      <c r="K416" s="354">
        <f t="shared" si="40"/>
        <v>77.36262664779247</v>
      </c>
      <c r="L416" s="341">
        <v>36</v>
      </c>
      <c r="M416" s="343">
        <f t="shared" si="41"/>
        <v>123.4211111111111</v>
      </c>
      <c r="N416" s="344">
        <f ca="1" t="shared" si="39"/>
        <v>19</v>
      </c>
      <c r="O416" s="348">
        <f t="shared" si="42"/>
        <v>2098.158888888889</v>
      </c>
      <c r="P416" s="340" t="s">
        <v>796</v>
      </c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</row>
    <row r="417" spans="2:46" s="3" customFormat="1" ht="36" customHeight="1">
      <c r="B417" s="355">
        <v>43990</v>
      </c>
      <c r="C417" s="340" t="s">
        <v>3351</v>
      </c>
      <c r="D417" s="341" t="s">
        <v>3388</v>
      </c>
      <c r="E417" s="339" t="s">
        <v>3373</v>
      </c>
      <c r="F417" s="341" t="s">
        <v>3359</v>
      </c>
      <c r="G417" s="341" t="s">
        <v>81</v>
      </c>
      <c r="H417" s="341" t="s">
        <v>437</v>
      </c>
      <c r="I417" s="353">
        <f>2629.28+473.27</f>
        <v>3102.55</v>
      </c>
      <c r="J417" s="353">
        <v>57.4329</v>
      </c>
      <c r="K417" s="354">
        <f t="shared" si="40"/>
        <v>54.02043079837515</v>
      </c>
      <c r="L417" s="341">
        <v>36</v>
      </c>
      <c r="M417" s="343">
        <f t="shared" si="41"/>
        <v>86.18194444444445</v>
      </c>
      <c r="N417" s="344">
        <f ca="1" t="shared" si="39"/>
        <v>19</v>
      </c>
      <c r="O417" s="348">
        <f t="shared" si="42"/>
        <v>1465.0930555555556</v>
      </c>
      <c r="P417" s="340" t="s">
        <v>796</v>
      </c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</row>
    <row r="418" spans="2:46" s="3" customFormat="1" ht="39.75" customHeight="1">
      <c r="B418" s="355">
        <v>43990</v>
      </c>
      <c r="C418" s="340" t="s">
        <v>3351</v>
      </c>
      <c r="D418" s="341" t="s">
        <v>3389</v>
      </c>
      <c r="E418" s="339" t="s">
        <v>3373</v>
      </c>
      <c r="F418" s="341" t="s">
        <v>3360</v>
      </c>
      <c r="G418" s="341" t="s">
        <v>81</v>
      </c>
      <c r="H418" s="341" t="s">
        <v>437</v>
      </c>
      <c r="I418" s="353">
        <f>2629.28+473.27</f>
        <v>3102.55</v>
      </c>
      <c r="J418" s="353">
        <v>57.4329</v>
      </c>
      <c r="K418" s="354">
        <f t="shared" si="40"/>
        <v>54.02043079837515</v>
      </c>
      <c r="L418" s="341">
        <v>36</v>
      </c>
      <c r="M418" s="343">
        <f t="shared" si="41"/>
        <v>86.18194444444445</v>
      </c>
      <c r="N418" s="344">
        <f ca="1" t="shared" si="39"/>
        <v>19</v>
      </c>
      <c r="O418" s="348">
        <f t="shared" si="42"/>
        <v>1465.0930555555556</v>
      </c>
      <c r="P418" s="340" t="s">
        <v>796</v>
      </c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</row>
    <row r="419" spans="2:46" s="3" customFormat="1" ht="44.25" customHeight="1">
      <c r="B419" s="355">
        <v>43990</v>
      </c>
      <c r="C419" s="340" t="s">
        <v>3351</v>
      </c>
      <c r="D419" s="341" t="s">
        <v>3390</v>
      </c>
      <c r="E419" s="339" t="s">
        <v>3375</v>
      </c>
      <c r="F419" s="341" t="s">
        <v>3354</v>
      </c>
      <c r="G419" s="341" t="s">
        <v>81</v>
      </c>
      <c r="H419" s="341" t="s">
        <v>437</v>
      </c>
      <c r="I419" s="353">
        <f>1623.01+292.14</f>
        <v>1915.15</v>
      </c>
      <c r="J419" s="353">
        <v>57.4329</v>
      </c>
      <c r="K419" s="354">
        <f t="shared" si="40"/>
        <v>33.345869701860785</v>
      </c>
      <c r="L419" s="341">
        <v>36</v>
      </c>
      <c r="M419" s="343">
        <f t="shared" si="41"/>
        <v>53.19861111111111</v>
      </c>
      <c r="N419" s="344">
        <f ca="1" t="shared" si="39"/>
        <v>19</v>
      </c>
      <c r="O419" s="348">
        <f t="shared" si="42"/>
        <v>904.376388888889</v>
      </c>
      <c r="P419" s="340" t="s">
        <v>796</v>
      </c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</row>
    <row r="420" spans="2:46" s="3" customFormat="1" ht="36.75" customHeight="1">
      <c r="B420" s="355">
        <v>43990</v>
      </c>
      <c r="C420" s="340" t="s">
        <v>3351</v>
      </c>
      <c r="D420" s="341" t="s">
        <v>3391</v>
      </c>
      <c r="E420" s="339" t="s">
        <v>3375</v>
      </c>
      <c r="F420" s="341" t="s">
        <v>3355</v>
      </c>
      <c r="G420" s="341" t="s">
        <v>81</v>
      </c>
      <c r="H420" s="341" t="s">
        <v>437</v>
      </c>
      <c r="I420" s="353">
        <f>1623.01+292.14</f>
        <v>1915.15</v>
      </c>
      <c r="J420" s="353">
        <v>57.4329</v>
      </c>
      <c r="K420" s="354">
        <f t="shared" si="40"/>
        <v>33.345869701860785</v>
      </c>
      <c r="L420" s="341">
        <v>36</v>
      </c>
      <c r="M420" s="343">
        <f t="shared" si="41"/>
        <v>53.19861111111111</v>
      </c>
      <c r="N420" s="344">
        <f ca="1" t="shared" si="39"/>
        <v>19</v>
      </c>
      <c r="O420" s="348">
        <f t="shared" si="42"/>
        <v>904.376388888889</v>
      </c>
      <c r="P420" s="340" t="s">
        <v>796</v>
      </c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</row>
    <row r="421" spans="2:46" s="3" customFormat="1" ht="37.5" customHeight="1">
      <c r="B421" s="355">
        <v>43990</v>
      </c>
      <c r="C421" s="340" t="s">
        <v>3351</v>
      </c>
      <c r="D421" s="341" t="s">
        <v>3392</v>
      </c>
      <c r="E421" s="339" t="s">
        <v>3375</v>
      </c>
      <c r="F421" s="341" t="s">
        <v>3356</v>
      </c>
      <c r="G421" s="341" t="s">
        <v>81</v>
      </c>
      <c r="H421" s="341" t="s">
        <v>437</v>
      </c>
      <c r="I421" s="353">
        <f>1623.01+292.14</f>
        <v>1915.15</v>
      </c>
      <c r="J421" s="353">
        <v>57.4329</v>
      </c>
      <c r="K421" s="354">
        <f t="shared" si="40"/>
        <v>33.345869701860785</v>
      </c>
      <c r="L421" s="341">
        <v>36</v>
      </c>
      <c r="M421" s="343">
        <f t="shared" si="41"/>
        <v>53.19861111111111</v>
      </c>
      <c r="N421" s="344">
        <f ca="1" t="shared" si="39"/>
        <v>19</v>
      </c>
      <c r="O421" s="348">
        <f t="shared" si="42"/>
        <v>904.376388888889</v>
      </c>
      <c r="P421" s="340" t="s">
        <v>796</v>
      </c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</row>
    <row r="422" spans="2:46" s="3" customFormat="1" ht="44.25" customHeight="1">
      <c r="B422" s="355">
        <v>43990</v>
      </c>
      <c r="C422" s="340" t="s">
        <v>3351</v>
      </c>
      <c r="D422" s="341" t="s">
        <v>3393</v>
      </c>
      <c r="E422" s="339" t="s">
        <v>3376</v>
      </c>
      <c r="F422" s="341" t="s">
        <v>42</v>
      </c>
      <c r="G422" s="341" t="s">
        <v>81</v>
      </c>
      <c r="H422" s="341" t="s">
        <v>437</v>
      </c>
      <c r="I422" s="353">
        <f>11701.91+2106.35</f>
        <v>13808.26</v>
      </c>
      <c r="J422" s="353">
        <v>57.4329</v>
      </c>
      <c r="K422" s="354">
        <f t="shared" si="40"/>
        <v>240.42421678167045</v>
      </c>
      <c r="L422" s="341">
        <v>36</v>
      </c>
      <c r="M422" s="343">
        <f t="shared" si="41"/>
        <v>383.5627777777778</v>
      </c>
      <c r="N422" s="344">
        <f ca="1" t="shared" si="39"/>
        <v>19</v>
      </c>
      <c r="O422" s="348">
        <f t="shared" si="42"/>
        <v>6520.567222222222</v>
      </c>
      <c r="P422" s="340" t="s">
        <v>796</v>
      </c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</row>
    <row r="423" spans="2:46" s="3" customFormat="1" ht="51.75" customHeight="1">
      <c r="B423" s="355">
        <v>43990</v>
      </c>
      <c r="C423" s="340" t="s">
        <v>3351</v>
      </c>
      <c r="D423" s="341" t="s">
        <v>3394</v>
      </c>
      <c r="E423" s="339" t="s">
        <v>3353</v>
      </c>
      <c r="F423" s="341" t="s">
        <v>42</v>
      </c>
      <c r="G423" s="341" t="s">
        <v>81</v>
      </c>
      <c r="H423" s="341" t="s">
        <v>437</v>
      </c>
      <c r="I423" s="353">
        <f>2059.98+370.8</f>
        <v>2430.78</v>
      </c>
      <c r="J423" s="353">
        <v>57.4329</v>
      </c>
      <c r="K423" s="354">
        <f t="shared" si="40"/>
        <v>42.32382484603773</v>
      </c>
      <c r="L423" s="341">
        <v>36</v>
      </c>
      <c r="M423" s="343">
        <f t="shared" si="41"/>
        <v>67.52166666666668</v>
      </c>
      <c r="N423" s="344">
        <f ca="1" t="shared" si="39"/>
        <v>19</v>
      </c>
      <c r="O423" s="348">
        <f t="shared" si="42"/>
        <v>1147.8683333333333</v>
      </c>
      <c r="P423" s="340" t="s">
        <v>796</v>
      </c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</row>
    <row r="424" spans="2:46" s="3" customFormat="1" ht="53.25" customHeight="1">
      <c r="B424" s="355">
        <v>43990</v>
      </c>
      <c r="C424" s="340" t="s">
        <v>3351</v>
      </c>
      <c r="D424" s="341" t="s">
        <v>3395</v>
      </c>
      <c r="E424" s="339" t="s">
        <v>3353</v>
      </c>
      <c r="F424" s="341" t="s">
        <v>42</v>
      </c>
      <c r="G424" s="341" t="s">
        <v>81</v>
      </c>
      <c r="H424" s="341" t="s">
        <v>437</v>
      </c>
      <c r="I424" s="353">
        <f>2059.98+370.8</f>
        <v>2430.78</v>
      </c>
      <c r="J424" s="353">
        <v>57.4329</v>
      </c>
      <c r="K424" s="354">
        <f t="shared" si="40"/>
        <v>42.32382484603773</v>
      </c>
      <c r="L424" s="341">
        <v>36</v>
      </c>
      <c r="M424" s="343">
        <f t="shared" si="41"/>
        <v>67.52166666666668</v>
      </c>
      <c r="N424" s="344">
        <f ca="1" t="shared" si="39"/>
        <v>19</v>
      </c>
      <c r="O424" s="348">
        <f t="shared" si="42"/>
        <v>1147.8683333333333</v>
      </c>
      <c r="P424" s="340" t="s">
        <v>796</v>
      </c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</row>
    <row r="425" spans="2:46" s="3" customFormat="1" ht="33.75" customHeight="1">
      <c r="B425" s="355">
        <v>43990</v>
      </c>
      <c r="C425" s="340" t="s">
        <v>3351</v>
      </c>
      <c r="D425" s="341" t="s">
        <v>3396</v>
      </c>
      <c r="E425" s="339" t="s">
        <v>3878</v>
      </c>
      <c r="F425" s="341" t="s">
        <v>42</v>
      </c>
      <c r="G425" s="341" t="s">
        <v>81</v>
      </c>
      <c r="H425" s="341" t="s">
        <v>437</v>
      </c>
      <c r="I425" s="353">
        <f>458.8+82.584</f>
        <v>541.384</v>
      </c>
      <c r="J425" s="353">
        <v>57.4329</v>
      </c>
      <c r="K425" s="354">
        <f t="shared" si="40"/>
        <v>9.426374081754535</v>
      </c>
      <c r="L425" s="341">
        <v>36</v>
      </c>
      <c r="M425" s="343">
        <f t="shared" si="41"/>
        <v>15.038444444444444</v>
      </c>
      <c r="N425" s="344">
        <f ca="1" t="shared" si="39"/>
        <v>19</v>
      </c>
      <c r="O425" s="348">
        <f t="shared" si="42"/>
        <v>255.65355555555556</v>
      </c>
      <c r="P425" s="340" t="s">
        <v>796</v>
      </c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</row>
    <row r="426" spans="2:46" s="3" customFormat="1" ht="61.5" customHeight="1">
      <c r="B426" s="355">
        <v>43990</v>
      </c>
      <c r="C426" s="340" t="s">
        <v>3352</v>
      </c>
      <c r="D426" s="341" t="s">
        <v>3397</v>
      </c>
      <c r="E426" s="339" t="s">
        <v>3377</v>
      </c>
      <c r="F426" s="341" t="s">
        <v>3443</v>
      </c>
      <c r="G426" s="341" t="s">
        <v>3861</v>
      </c>
      <c r="H426" s="341" t="s">
        <v>437</v>
      </c>
      <c r="I426" s="353">
        <f>57167.06+10290.0708</f>
        <v>67457.1308</v>
      </c>
      <c r="J426" s="353">
        <v>57.4329</v>
      </c>
      <c r="K426" s="354">
        <f t="shared" si="40"/>
        <v>1174.5381271013653</v>
      </c>
      <c r="L426" s="341">
        <v>36</v>
      </c>
      <c r="M426" s="343">
        <f t="shared" si="41"/>
        <v>1873.809188888889</v>
      </c>
      <c r="N426" s="344">
        <f ca="1" t="shared" si="39"/>
        <v>19</v>
      </c>
      <c r="O426" s="348">
        <f t="shared" si="42"/>
        <v>31854.75621111111</v>
      </c>
      <c r="P426" s="340" t="s">
        <v>2002</v>
      </c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</row>
    <row r="427" spans="2:46" s="3" customFormat="1" ht="60" customHeight="1">
      <c r="B427" s="355">
        <v>43990</v>
      </c>
      <c r="C427" s="340" t="s">
        <v>3352</v>
      </c>
      <c r="D427" s="341" t="s">
        <v>3398</v>
      </c>
      <c r="E427" s="339" t="s">
        <v>3377</v>
      </c>
      <c r="F427" s="341" t="s">
        <v>3404</v>
      </c>
      <c r="G427" s="341" t="s">
        <v>81</v>
      </c>
      <c r="H427" s="341" t="s">
        <v>437</v>
      </c>
      <c r="I427" s="353">
        <f aca="true" t="shared" si="43" ref="I427:I432">57167.06+10290.0708</f>
        <v>67457.1308</v>
      </c>
      <c r="J427" s="353">
        <v>57.4329</v>
      </c>
      <c r="K427" s="354">
        <f aca="true" t="shared" si="44" ref="K427:K432">+I427/J427</f>
        <v>1174.5381271013653</v>
      </c>
      <c r="L427" s="341">
        <v>36</v>
      </c>
      <c r="M427" s="343">
        <f aca="true" t="shared" si="45" ref="M427:M440">IF(AND(I427&lt;&gt;0,L427&lt;&gt;0),I427/L427,0)</f>
        <v>1873.809188888889</v>
      </c>
      <c r="N427" s="344">
        <f aca="true" ca="1" t="shared" si="46" ref="N427:N462">IF(B427&lt;&gt;0,(ROUND((NOW()-B427)/30,0)),0)</f>
        <v>19</v>
      </c>
      <c r="O427" s="348">
        <f aca="true" t="shared" si="47" ref="O427:O440">IF(OR(I427=0,L427=0,N427=0),0,I427-(M427*N427))</f>
        <v>31854.75621111111</v>
      </c>
      <c r="P427" s="340" t="s">
        <v>2002</v>
      </c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</row>
    <row r="428" spans="2:46" s="3" customFormat="1" ht="52.5" customHeight="1">
      <c r="B428" s="355">
        <v>43990</v>
      </c>
      <c r="C428" s="340" t="s">
        <v>3352</v>
      </c>
      <c r="D428" s="341" t="s">
        <v>3399</v>
      </c>
      <c r="E428" s="339" t="s">
        <v>3377</v>
      </c>
      <c r="F428" s="341" t="s">
        <v>3428</v>
      </c>
      <c r="G428" s="341" t="s">
        <v>3613</v>
      </c>
      <c r="H428" s="341" t="s">
        <v>437</v>
      </c>
      <c r="I428" s="353">
        <f t="shared" si="43"/>
        <v>67457.1308</v>
      </c>
      <c r="J428" s="353">
        <v>57.4329</v>
      </c>
      <c r="K428" s="354">
        <f t="shared" si="44"/>
        <v>1174.5381271013653</v>
      </c>
      <c r="L428" s="341">
        <v>36</v>
      </c>
      <c r="M428" s="343">
        <f t="shared" si="45"/>
        <v>1873.809188888889</v>
      </c>
      <c r="N428" s="344">
        <f ca="1" t="shared" si="46"/>
        <v>19</v>
      </c>
      <c r="O428" s="348">
        <f t="shared" si="47"/>
        <v>31854.75621111111</v>
      </c>
      <c r="P428" s="340" t="s">
        <v>2002</v>
      </c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</row>
    <row r="429" spans="2:46" s="3" customFormat="1" ht="51.75" customHeight="1">
      <c r="B429" s="355">
        <v>43990</v>
      </c>
      <c r="C429" s="340" t="s">
        <v>3352</v>
      </c>
      <c r="D429" s="341" t="s">
        <v>3400</v>
      </c>
      <c r="E429" s="339" t="s">
        <v>3377</v>
      </c>
      <c r="F429" s="341" t="s">
        <v>3432</v>
      </c>
      <c r="G429" s="341" t="s">
        <v>3552</v>
      </c>
      <c r="H429" s="341" t="s">
        <v>437</v>
      </c>
      <c r="I429" s="353">
        <f t="shared" si="43"/>
        <v>67457.1308</v>
      </c>
      <c r="J429" s="353">
        <v>57.4329</v>
      </c>
      <c r="K429" s="354">
        <f t="shared" si="44"/>
        <v>1174.5381271013653</v>
      </c>
      <c r="L429" s="341">
        <v>36</v>
      </c>
      <c r="M429" s="343">
        <f t="shared" si="45"/>
        <v>1873.809188888889</v>
      </c>
      <c r="N429" s="344">
        <f ca="1" t="shared" si="46"/>
        <v>19</v>
      </c>
      <c r="O429" s="348">
        <f t="shared" si="47"/>
        <v>31854.75621111111</v>
      </c>
      <c r="P429" s="340" t="s">
        <v>2002</v>
      </c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</row>
    <row r="430" spans="2:46" s="3" customFormat="1" ht="55.5" customHeight="1">
      <c r="B430" s="355">
        <v>43990</v>
      </c>
      <c r="C430" s="340" t="s">
        <v>3352</v>
      </c>
      <c r="D430" s="341" t="s">
        <v>3401</v>
      </c>
      <c r="E430" s="339" t="s">
        <v>3377</v>
      </c>
      <c r="F430" s="341" t="s">
        <v>3435</v>
      </c>
      <c r="G430" s="341" t="s">
        <v>3862</v>
      </c>
      <c r="H430" s="341" t="s">
        <v>437</v>
      </c>
      <c r="I430" s="353">
        <f t="shared" si="43"/>
        <v>67457.1308</v>
      </c>
      <c r="J430" s="353">
        <v>57.4329</v>
      </c>
      <c r="K430" s="354">
        <f t="shared" si="44"/>
        <v>1174.5381271013653</v>
      </c>
      <c r="L430" s="341">
        <v>36</v>
      </c>
      <c r="M430" s="343">
        <f t="shared" si="45"/>
        <v>1873.809188888889</v>
      </c>
      <c r="N430" s="344">
        <f ca="1" t="shared" si="46"/>
        <v>19</v>
      </c>
      <c r="O430" s="348">
        <f t="shared" si="47"/>
        <v>31854.75621111111</v>
      </c>
      <c r="P430" s="340" t="s">
        <v>2002</v>
      </c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</row>
    <row r="431" spans="2:46" s="3" customFormat="1" ht="56.25" customHeight="1">
      <c r="B431" s="355">
        <v>43990</v>
      </c>
      <c r="C431" s="340" t="s">
        <v>3352</v>
      </c>
      <c r="D431" s="341" t="s">
        <v>3402</v>
      </c>
      <c r="E431" s="339" t="s">
        <v>3377</v>
      </c>
      <c r="F431" s="341" t="s">
        <v>3405</v>
      </c>
      <c r="G431" s="341" t="s">
        <v>81</v>
      </c>
      <c r="H431" s="341" t="s">
        <v>437</v>
      </c>
      <c r="I431" s="353">
        <f t="shared" si="43"/>
        <v>67457.1308</v>
      </c>
      <c r="J431" s="353">
        <v>57.4329</v>
      </c>
      <c r="K431" s="354">
        <f t="shared" si="44"/>
        <v>1174.5381271013653</v>
      </c>
      <c r="L431" s="341">
        <v>36</v>
      </c>
      <c r="M431" s="343">
        <f t="shared" si="45"/>
        <v>1873.809188888889</v>
      </c>
      <c r="N431" s="344">
        <f ca="1" t="shared" si="46"/>
        <v>19</v>
      </c>
      <c r="O431" s="348">
        <f t="shared" si="47"/>
        <v>31854.75621111111</v>
      </c>
      <c r="P431" s="340" t="s">
        <v>2002</v>
      </c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</row>
    <row r="432" spans="2:46" s="3" customFormat="1" ht="52.5" customHeight="1">
      <c r="B432" s="355">
        <v>43990</v>
      </c>
      <c r="C432" s="340" t="s">
        <v>3352</v>
      </c>
      <c r="D432" s="341" t="s">
        <v>3403</v>
      </c>
      <c r="E432" s="339" t="s">
        <v>3377</v>
      </c>
      <c r="F432" s="341" t="s">
        <v>3433</v>
      </c>
      <c r="G432" s="341" t="s">
        <v>3863</v>
      </c>
      <c r="H432" s="341" t="s">
        <v>437</v>
      </c>
      <c r="I432" s="353">
        <f t="shared" si="43"/>
        <v>67457.1308</v>
      </c>
      <c r="J432" s="353">
        <v>57.4329</v>
      </c>
      <c r="K432" s="354">
        <f t="shared" si="44"/>
        <v>1174.5381271013653</v>
      </c>
      <c r="L432" s="341">
        <v>36</v>
      </c>
      <c r="M432" s="343">
        <f t="shared" si="45"/>
        <v>1873.809188888889</v>
      </c>
      <c r="N432" s="344">
        <f ca="1" t="shared" si="46"/>
        <v>19</v>
      </c>
      <c r="O432" s="348">
        <f t="shared" si="47"/>
        <v>31854.75621111111</v>
      </c>
      <c r="P432" s="340" t="s">
        <v>2002</v>
      </c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</row>
    <row r="433" spans="2:46" s="3" customFormat="1" ht="63.75" customHeight="1">
      <c r="B433" s="355">
        <v>44038</v>
      </c>
      <c r="C433" s="341" t="s">
        <v>3519</v>
      </c>
      <c r="D433" s="341" t="s">
        <v>3520</v>
      </c>
      <c r="E433" s="341" t="s">
        <v>3521</v>
      </c>
      <c r="F433" s="341" t="s">
        <v>3522</v>
      </c>
      <c r="G433" s="341" t="s">
        <v>81</v>
      </c>
      <c r="H433" s="341" t="s">
        <v>437</v>
      </c>
      <c r="I433" s="353">
        <v>73350.92</v>
      </c>
      <c r="J433" s="353">
        <v>57.43</v>
      </c>
      <c r="K433" s="354">
        <f>I433/J433</f>
        <v>1277.2230541528818</v>
      </c>
      <c r="L433" s="341">
        <v>12</v>
      </c>
      <c r="M433" s="343">
        <f t="shared" si="45"/>
        <v>6112.576666666667</v>
      </c>
      <c r="N433" s="344">
        <f ca="1" t="shared" si="46"/>
        <v>18</v>
      </c>
      <c r="O433" s="348">
        <f>(M433*N433)</f>
        <v>110026.38</v>
      </c>
      <c r="P433" s="340" t="s">
        <v>3523</v>
      </c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</row>
    <row r="434" spans="2:46" s="3" customFormat="1" ht="42.75" customHeight="1">
      <c r="B434" s="355" t="s">
        <v>3524</v>
      </c>
      <c r="C434" s="341" t="s">
        <v>3525</v>
      </c>
      <c r="D434" s="341" t="s">
        <v>3526</v>
      </c>
      <c r="E434" s="339" t="s">
        <v>3527</v>
      </c>
      <c r="F434" s="341" t="s">
        <v>3528</v>
      </c>
      <c r="G434" s="341" t="s">
        <v>81</v>
      </c>
      <c r="H434" s="341" t="s">
        <v>437</v>
      </c>
      <c r="I434" s="353">
        <v>14673.3</v>
      </c>
      <c r="J434" s="353">
        <v>57.43</v>
      </c>
      <c r="K434" s="354">
        <f aca="true" t="shared" si="48" ref="K434:K535">I434/J434</f>
        <v>255.4988681873585</v>
      </c>
      <c r="L434" s="341">
        <v>36</v>
      </c>
      <c r="M434" s="343">
        <f t="shared" si="45"/>
        <v>407.59166666666664</v>
      </c>
      <c r="N434" s="344">
        <f ca="1" t="shared" si="46"/>
        <v>17</v>
      </c>
      <c r="O434" s="348">
        <f t="shared" si="47"/>
        <v>7744.241666666667</v>
      </c>
      <c r="P434" s="340" t="s">
        <v>3529</v>
      </c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</row>
    <row r="435" spans="2:46" s="3" customFormat="1" ht="41.25" customHeight="1">
      <c r="B435" s="355" t="s">
        <v>3524</v>
      </c>
      <c r="C435" s="341" t="s">
        <v>3525</v>
      </c>
      <c r="D435" s="341" t="s">
        <v>3530</v>
      </c>
      <c r="E435" s="339" t="s">
        <v>3527</v>
      </c>
      <c r="F435" s="341" t="s">
        <v>3528</v>
      </c>
      <c r="G435" s="341" t="s">
        <v>81</v>
      </c>
      <c r="H435" s="341" t="s">
        <v>437</v>
      </c>
      <c r="I435" s="353">
        <v>14673.3</v>
      </c>
      <c r="J435" s="353">
        <v>57.43</v>
      </c>
      <c r="K435" s="354">
        <f t="shared" si="48"/>
        <v>255.4988681873585</v>
      </c>
      <c r="L435" s="341">
        <v>36</v>
      </c>
      <c r="M435" s="343">
        <f t="shared" si="45"/>
        <v>407.59166666666664</v>
      </c>
      <c r="N435" s="344">
        <f ca="1" t="shared" si="46"/>
        <v>17</v>
      </c>
      <c r="O435" s="348">
        <f t="shared" si="47"/>
        <v>7744.241666666667</v>
      </c>
      <c r="P435" s="340" t="s">
        <v>3529</v>
      </c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</row>
    <row r="436" spans="1:46" s="3" customFormat="1" ht="40.5" customHeight="1">
      <c r="A436" s="291"/>
      <c r="B436" s="626">
        <v>44146</v>
      </c>
      <c r="C436" s="616" t="s">
        <v>3531</v>
      </c>
      <c r="D436" s="616" t="s">
        <v>3532</v>
      </c>
      <c r="E436" s="617" t="s">
        <v>3906</v>
      </c>
      <c r="F436" s="616" t="s">
        <v>3885</v>
      </c>
      <c r="G436" s="616" t="s">
        <v>3533</v>
      </c>
      <c r="H436" s="616" t="s">
        <v>437</v>
      </c>
      <c r="I436" s="628">
        <v>78506.25</v>
      </c>
      <c r="J436" s="628">
        <v>57.43</v>
      </c>
      <c r="K436" s="629">
        <f t="shared" si="48"/>
        <v>1366.9902489987812</v>
      </c>
      <c r="L436" s="616">
        <v>60</v>
      </c>
      <c r="M436" s="630">
        <f t="shared" si="45"/>
        <v>1308.4375</v>
      </c>
      <c r="N436" s="618">
        <f ca="1" t="shared" si="46"/>
        <v>14</v>
      </c>
      <c r="O436" s="619">
        <f t="shared" si="47"/>
        <v>60188.125</v>
      </c>
      <c r="P436" s="627" t="s">
        <v>3534</v>
      </c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</row>
    <row r="437" spans="1:46" s="3" customFormat="1" ht="43.5" customHeight="1">
      <c r="A437" s="291"/>
      <c r="B437" s="626">
        <v>44146</v>
      </c>
      <c r="C437" s="616" t="s">
        <v>3531</v>
      </c>
      <c r="D437" s="616" t="s">
        <v>3535</v>
      </c>
      <c r="E437" s="617" t="s">
        <v>3907</v>
      </c>
      <c r="F437" s="616" t="s">
        <v>3884</v>
      </c>
      <c r="G437" s="616" t="s">
        <v>3533</v>
      </c>
      <c r="H437" s="616" t="s">
        <v>437</v>
      </c>
      <c r="I437" s="628">
        <v>78506.25</v>
      </c>
      <c r="J437" s="628">
        <v>57.43</v>
      </c>
      <c r="K437" s="629">
        <f>I437/J437</f>
        <v>1366.9902489987812</v>
      </c>
      <c r="L437" s="616">
        <v>60</v>
      </c>
      <c r="M437" s="630">
        <f t="shared" si="45"/>
        <v>1308.4375</v>
      </c>
      <c r="N437" s="618">
        <f ca="1" t="shared" si="46"/>
        <v>14</v>
      </c>
      <c r="O437" s="619">
        <f t="shared" si="47"/>
        <v>60188.125</v>
      </c>
      <c r="P437" s="627" t="s">
        <v>3534</v>
      </c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</row>
    <row r="438" spans="2:46" s="3" customFormat="1" ht="29.25" customHeight="1">
      <c r="B438" s="355">
        <v>44186</v>
      </c>
      <c r="C438" s="341" t="s">
        <v>3536</v>
      </c>
      <c r="D438" s="341" t="s">
        <v>3537</v>
      </c>
      <c r="E438" s="339" t="s">
        <v>3538</v>
      </c>
      <c r="F438" s="341" t="s">
        <v>3539</v>
      </c>
      <c r="G438" s="341" t="s">
        <v>3540</v>
      </c>
      <c r="H438" s="341" t="s">
        <v>437</v>
      </c>
      <c r="I438" s="353">
        <v>512661.38</v>
      </c>
      <c r="J438" s="353">
        <f>J437</f>
        <v>57.43</v>
      </c>
      <c r="K438" s="354">
        <f t="shared" si="48"/>
        <v>8926.717395089674</v>
      </c>
      <c r="L438" s="341">
        <v>12</v>
      </c>
      <c r="M438" s="343">
        <f t="shared" si="45"/>
        <v>42721.78166666667</v>
      </c>
      <c r="N438" s="344">
        <f ca="1" t="shared" si="46"/>
        <v>13</v>
      </c>
      <c r="O438" s="348">
        <f t="shared" si="47"/>
        <v>-42721.781666666735</v>
      </c>
      <c r="P438" s="340" t="s">
        <v>3523</v>
      </c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</row>
    <row r="439" spans="2:46" s="3" customFormat="1" ht="33" customHeight="1">
      <c r="B439" s="355">
        <v>44186</v>
      </c>
      <c r="C439" s="341" t="s">
        <v>3541</v>
      </c>
      <c r="D439" s="341" t="s">
        <v>3542</v>
      </c>
      <c r="E439" s="339" t="s">
        <v>3543</v>
      </c>
      <c r="F439" s="341" t="s">
        <v>3544</v>
      </c>
      <c r="G439" s="341" t="s">
        <v>3540</v>
      </c>
      <c r="H439" s="341" t="s">
        <v>437</v>
      </c>
      <c r="I439" s="353">
        <v>42726.09</v>
      </c>
      <c r="J439" s="353">
        <v>57.43</v>
      </c>
      <c r="K439" s="354">
        <f t="shared" si="48"/>
        <v>743.9681351210169</v>
      </c>
      <c r="L439" s="341">
        <v>12</v>
      </c>
      <c r="M439" s="343">
        <f t="shared" si="45"/>
        <v>3560.5074999999997</v>
      </c>
      <c r="N439" s="344">
        <f ca="1" t="shared" si="46"/>
        <v>13</v>
      </c>
      <c r="O439" s="348">
        <f t="shared" si="47"/>
        <v>-3560.5074999999997</v>
      </c>
      <c r="P439" s="340" t="s">
        <v>3523</v>
      </c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</row>
    <row r="440" spans="2:46" s="3" customFormat="1" ht="54.75" customHeight="1">
      <c r="B440" s="355">
        <v>44186</v>
      </c>
      <c r="C440" s="341" t="s">
        <v>3536</v>
      </c>
      <c r="D440" s="341" t="s">
        <v>3545</v>
      </c>
      <c r="E440" s="339" t="s">
        <v>3546</v>
      </c>
      <c r="F440" s="339" t="s">
        <v>3546</v>
      </c>
      <c r="G440" s="341" t="s">
        <v>3540</v>
      </c>
      <c r="H440" s="341" t="s">
        <v>437</v>
      </c>
      <c r="I440" s="353">
        <v>99551.7</v>
      </c>
      <c r="J440" s="353">
        <v>57.43</v>
      </c>
      <c r="K440" s="354">
        <f t="shared" si="48"/>
        <v>1733.444192930524</v>
      </c>
      <c r="L440" s="341">
        <v>12</v>
      </c>
      <c r="M440" s="343">
        <f t="shared" si="45"/>
        <v>8295.975</v>
      </c>
      <c r="N440" s="344">
        <f ca="1" t="shared" si="46"/>
        <v>13</v>
      </c>
      <c r="O440" s="348">
        <f t="shared" si="47"/>
        <v>-8295.975000000006</v>
      </c>
      <c r="P440" s="340" t="s">
        <v>3523</v>
      </c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</row>
    <row r="441" spans="2:46" s="3" customFormat="1" ht="61.5" customHeight="1">
      <c r="B441" s="573">
        <v>44186</v>
      </c>
      <c r="C441" s="574" t="s">
        <v>3536</v>
      </c>
      <c r="D441" s="341" t="s">
        <v>3547</v>
      </c>
      <c r="E441" s="575" t="s">
        <v>3817</v>
      </c>
      <c r="F441" s="574" t="s">
        <v>3548</v>
      </c>
      <c r="G441" s="574" t="s">
        <v>3540</v>
      </c>
      <c r="H441" s="574" t="s">
        <v>437</v>
      </c>
      <c r="I441" s="576">
        <v>186497.11</v>
      </c>
      <c r="J441" s="576">
        <v>57.43</v>
      </c>
      <c r="K441" s="577">
        <f t="shared" si="48"/>
        <v>3247.3813337976667</v>
      </c>
      <c r="L441" s="574">
        <v>12</v>
      </c>
      <c r="M441" s="343">
        <f aca="true" t="shared" si="49" ref="M441:M446">I441/L441</f>
        <v>15541.425833333333</v>
      </c>
      <c r="N441" s="344">
        <f ca="1" t="shared" si="46"/>
        <v>13</v>
      </c>
      <c r="O441" s="348">
        <f aca="true" t="shared" si="50" ref="O441:O446">(M441*N441)</f>
        <v>202038.53583333333</v>
      </c>
      <c r="P441" s="340" t="s">
        <v>3523</v>
      </c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</row>
    <row r="442" spans="2:46" s="3" customFormat="1" ht="149.25" customHeight="1">
      <c r="B442" s="604">
        <v>44204</v>
      </c>
      <c r="C442" s="605" t="s">
        <v>3614</v>
      </c>
      <c r="D442" s="606" t="s">
        <v>3620</v>
      </c>
      <c r="E442" s="607" t="s">
        <v>3877</v>
      </c>
      <c r="F442" s="608" t="s">
        <v>3616</v>
      </c>
      <c r="G442" s="605" t="s">
        <v>3540</v>
      </c>
      <c r="H442" s="605" t="s">
        <v>437</v>
      </c>
      <c r="I442" s="609">
        <v>385882.66</v>
      </c>
      <c r="J442" s="609">
        <v>58.1892</v>
      </c>
      <c r="K442" s="610">
        <f t="shared" si="48"/>
        <v>6631.516845050284</v>
      </c>
      <c r="L442" s="605">
        <v>36</v>
      </c>
      <c r="M442" s="611">
        <f t="shared" si="49"/>
        <v>10718.962777777777</v>
      </c>
      <c r="N442" s="612">
        <f ca="1" t="shared" si="46"/>
        <v>12</v>
      </c>
      <c r="O442" s="613">
        <f t="shared" si="50"/>
        <v>128627.55333333332</v>
      </c>
      <c r="P442" s="614" t="s">
        <v>746</v>
      </c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</row>
    <row r="443" spans="2:46" s="3" customFormat="1" ht="100.5" customHeight="1">
      <c r="B443" s="604">
        <v>44207</v>
      </c>
      <c r="C443" s="605" t="s">
        <v>3615</v>
      </c>
      <c r="D443" s="606" t="s">
        <v>3621</v>
      </c>
      <c r="E443" s="607" t="s">
        <v>3818</v>
      </c>
      <c r="F443" s="605" t="s">
        <v>3617</v>
      </c>
      <c r="G443" s="605" t="s">
        <v>3540</v>
      </c>
      <c r="H443" s="605" t="s">
        <v>437</v>
      </c>
      <c r="I443" s="609">
        <v>157370.26</v>
      </c>
      <c r="J443" s="609">
        <v>58.2522</v>
      </c>
      <c r="K443" s="610">
        <f t="shared" si="48"/>
        <v>2701.533332646664</v>
      </c>
      <c r="L443" s="605">
        <v>12</v>
      </c>
      <c r="M443" s="611">
        <f t="shared" si="49"/>
        <v>13114.188333333334</v>
      </c>
      <c r="N443" s="612">
        <f ca="1" t="shared" si="46"/>
        <v>12</v>
      </c>
      <c r="O443" s="613">
        <f t="shared" si="50"/>
        <v>157370.26</v>
      </c>
      <c r="P443" s="614" t="s">
        <v>3523</v>
      </c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</row>
    <row r="444" spans="2:46" s="3" customFormat="1" ht="65.25" customHeight="1">
      <c r="B444" s="604">
        <v>44222</v>
      </c>
      <c r="C444" s="605" t="s">
        <v>3734</v>
      </c>
      <c r="D444" s="606" t="s">
        <v>3622</v>
      </c>
      <c r="E444" s="607" t="s">
        <v>3989</v>
      </c>
      <c r="F444" s="605" t="s">
        <v>3618</v>
      </c>
      <c r="G444" s="605" t="s">
        <v>3540</v>
      </c>
      <c r="H444" s="605" t="s">
        <v>437</v>
      </c>
      <c r="I444" s="609">
        <v>29170.14</v>
      </c>
      <c r="J444" s="609">
        <v>57.9832</v>
      </c>
      <c r="K444" s="610">
        <f t="shared" si="48"/>
        <v>503.0791677589371</v>
      </c>
      <c r="L444" s="605">
        <v>12</v>
      </c>
      <c r="M444" s="611">
        <f t="shared" si="49"/>
        <v>2430.845</v>
      </c>
      <c r="N444" s="612">
        <f ca="1" t="shared" si="46"/>
        <v>11</v>
      </c>
      <c r="O444" s="613">
        <f t="shared" si="50"/>
        <v>26739.295</v>
      </c>
      <c r="P444" s="615" t="s">
        <v>3561</v>
      </c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</row>
    <row r="445" spans="2:46" s="3" customFormat="1" ht="66.75" customHeight="1">
      <c r="B445" s="604">
        <v>44222</v>
      </c>
      <c r="C445" s="605" t="s">
        <v>3734</v>
      </c>
      <c r="D445" s="606" t="s">
        <v>3623</v>
      </c>
      <c r="E445" s="607" t="s">
        <v>3989</v>
      </c>
      <c r="F445" s="605" t="s">
        <v>3619</v>
      </c>
      <c r="G445" s="605" t="s">
        <v>3540</v>
      </c>
      <c r="H445" s="605" t="s">
        <v>437</v>
      </c>
      <c r="I445" s="609">
        <v>150430.37</v>
      </c>
      <c r="J445" s="609">
        <v>57.9832</v>
      </c>
      <c r="K445" s="610">
        <f t="shared" si="48"/>
        <v>2594.378544130024</v>
      </c>
      <c r="L445" s="605">
        <v>12</v>
      </c>
      <c r="M445" s="611">
        <f t="shared" si="49"/>
        <v>12535.864166666666</v>
      </c>
      <c r="N445" s="612">
        <f ca="1" t="shared" si="46"/>
        <v>11</v>
      </c>
      <c r="O445" s="613">
        <f t="shared" si="50"/>
        <v>137894.50583333333</v>
      </c>
      <c r="P445" s="615" t="s">
        <v>3561</v>
      </c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</row>
    <row r="446" spans="2:47" s="37" customFormat="1" ht="69" customHeight="1">
      <c r="B446" s="564">
        <v>44225</v>
      </c>
      <c r="C446" s="578" t="s">
        <v>3549</v>
      </c>
      <c r="D446" s="341" t="s">
        <v>3624</v>
      </c>
      <c r="E446" s="578" t="s">
        <v>3838</v>
      </c>
      <c r="F446" s="579" t="s">
        <v>3550</v>
      </c>
      <c r="G446" s="579" t="s">
        <v>3864</v>
      </c>
      <c r="H446" s="579" t="s">
        <v>437</v>
      </c>
      <c r="I446" s="578">
        <v>86040.8</v>
      </c>
      <c r="J446" s="578">
        <v>57.9982</v>
      </c>
      <c r="K446" s="578">
        <f t="shared" si="48"/>
        <v>1483.5081088723443</v>
      </c>
      <c r="L446" s="578">
        <v>48</v>
      </c>
      <c r="M446" s="580">
        <f t="shared" si="49"/>
        <v>1792.5166666666667</v>
      </c>
      <c r="N446" s="344">
        <f ca="1" t="shared" si="46"/>
        <v>11</v>
      </c>
      <c r="O446" s="348">
        <f t="shared" si="50"/>
        <v>19717.683333333334</v>
      </c>
      <c r="P446" s="578" t="s">
        <v>2002</v>
      </c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</row>
    <row r="447" spans="2:47" s="37" customFormat="1" ht="64.5" customHeight="1">
      <c r="B447" s="564">
        <v>44225</v>
      </c>
      <c r="C447" s="578" t="s">
        <v>3549</v>
      </c>
      <c r="D447" s="341" t="s">
        <v>3625</v>
      </c>
      <c r="E447" s="578" t="s">
        <v>3835</v>
      </c>
      <c r="F447" s="579" t="s">
        <v>3551</v>
      </c>
      <c r="G447" s="579" t="s">
        <v>3553</v>
      </c>
      <c r="H447" s="579" t="s">
        <v>437</v>
      </c>
      <c r="I447" s="578">
        <v>86040.8</v>
      </c>
      <c r="J447" s="578">
        <v>57.9982</v>
      </c>
      <c r="K447" s="578">
        <f t="shared" si="48"/>
        <v>1483.5081088723443</v>
      </c>
      <c r="L447" s="578">
        <v>48</v>
      </c>
      <c r="M447" s="580">
        <f aca="true" t="shared" si="51" ref="M447:M482">I447/L447</f>
        <v>1792.5166666666667</v>
      </c>
      <c r="N447" s="344">
        <f ca="1" t="shared" si="46"/>
        <v>11</v>
      </c>
      <c r="O447" s="348">
        <f aca="true" t="shared" si="52" ref="O447:O462">(M447*N447)</f>
        <v>19717.683333333334</v>
      </c>
      <c r="P447" s="578" t="s">
        <v>2002</v>
      </c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</row>
    <row r="448" spans="2:47" s="37" customFormat="1" ht="61.5" customHeight="1">
      <c r="B448" s="564">
        <v>44225</v>
      </c>
      <c r="C448" s="578" t="s">
        <v>3549</v>
      </c>
      <c r="D448" s="341" t="s">
        <v>3626</v>
      </c>
      <c r="E448" s="578" t="s">
        <v>3836</v>
      </c>
      <c r="F448" s="579" t="s">
        <v>3554</v>
      </c>
      <c r="G448" s="579" t="s">
        <v>3865</v>
      </c>
      <c r="H448" s="579" t="s">
        <v>437</v>
      </c>
      <c r="I448" s="578">
        <v>86040.8</v>
      </c>
      <c r="J448" s="578">
        <v>57.9982</v>
      </c>
      <c r="K448" s="578">
        <f t="shared" si="48"/>
        <v>1483.5081088723443</v>
      </c>
      <c r="L448" s="578">
        <v>48</v>
      </c>
      <c r="M448" s="580">
        <f t="shared" si="51"/>
        <v>1792.5166666666667</v>
      </c>
      <c r="N448" s="344">
        <f ca="1" t="shared" si="46"/>
        <v>11</v>
      </c>
      <c r="O448" s="348">
        <f t="shared" si="52"/>
        <v>19717.683333333334</v>
      </c>
      <c r="P448" s="578" t="s">
        <v>2002</v>
      </c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</row>
    <row r="449" spans="2:47" s="37" customFormat="1" ht="66.75" customHeight="1">
      <c r="B449" s="564">
        <v>44225</v>
      </c>
      <c r="C449" s="578" t="s">
        <v>3549</v>
      </c>
      <c r="D449" s="341" t="s">
        <v>3627</v>
      </c>
      <c r="E449" s="578" t="s">
        <v>3837</v>
      </c>
      <c r="F449" s="579" t="s">
        <v>3555</v>
      </c>
      <c r="G449" s="579" t="s">
        <v>3866</v>
      </c>
      <c r="H449" s="579" t="s">
        <v>437</v>
      </c>
      <c r="I449" s="578">
        <v>86040.8</v>
      </c>
      <c r="J449" s="578">
        <v>57.9982</v>
      </c>
      <c r="K449" s="578">
        <f t="shared" si="48"/>
        <v>1483.5081088723443</v>
      </c>
      <c r="L449" s="578">
        <v>48</v>
      </c>
      <c r="M449" s="580">
        <f t="shared" si="51"/>
        <v>1792.5166666666667</v>
      </c>
      <c r="N449" s="344">
        <f ca="1" t="shared" si="46"/>
        <v>11</v>
      </c>
      <c r="O449" s="348">
        <f t="shared" si="52"/>
        <v>19717.683333333334</v>
      </c>
      <c r="P449" s="578" t="s">
        <v>2002</v>
      </c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</row>
    <row r="450" spans="2:47" s="37" customFormat="1" ht="66" customHeight="1">
      <c r="B450" s="564">
        <v>44225</v>
      </c>
      <c r="C450" s="578" t="s">
        <v>3549</v>
      </c>
      <c r="D450" s="341" t="s">
        <v>3628</v>
      </c>
      <c r="E450" s="578" t="s">
        <v>3837</v>
      </c>
      <c r="F450" s="579" t="s">
        <v>3556</v>
      </c>
      <c r="G450" s="579" t="s">
        <v>3867</v>
      </c>
      <c r="H450" s="579" t="s">
        <v>437</v>
      </c>
      <c r="I450" s="578">
        <v>86040.84</v>
      </c>
      <c r="J450" s="578">
        <v>57.9982</v>
      </c>
      <c r="K450" s="578">
        <f t="shared" si="48"/>
        <v>1483.5087985489206</v>
      </c>
      <c r="L450" s="578">
        <v>48</v>
      </c>
      <c r="M450" s="580">
        <f t="shared" si="51"/>
        <v>1792.5175</v>
      </c>
      <c r="N450" s="344">
        <f ca="1">IF(B450&lt;&gt;0,(ROUND((NOW()-B450)/30,0)),0)</f>
        <v>11</v>
      </c>
      <c r="O450" s="348">
        <f t="shared" si="52"/>
        <v>19717.692499999997</v>
      </c>
      <c r="P450" s="578" t="s">
        <v>2002</v>
      </c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</row>
    <row r="451" spans="2:47" s="37" customFormat="1" ht="42.75" customHeight="1">
      <c r="B451" s="564">
        <v>44225</v>
      </c>
      <c r="C451" s="578" t="s">
        <v>3549</v>
      </c>
      <c r="D451" s="341" t="s">
        <v>3629</v>
      </c>
      <c r="E451" s="578" t="s">
        <v>3574</v>
      </c>
      <c r="F451" s="579" t="s">
        <v>3572</v>
      </c>
      <c r="G451" s="579" t="s">
        <v>3868</v>
      </c>
      <c r="H451" s="579" t="s">
        <v>437</v>
      </c>
      <c r="I451" s="578">
        <v>178877</v>
      </c>
      <c r="J451" s="578">
        <v>57.9982</v>
      </c>
      <c r="K451" s="578">
        <f t="shared" si="48"/>
        <v>3084.1819228872623</v>
      </c>
      <c r="L451" s="578">
        <v>48</v>
      </c>
      <c r="M451" s="580">
        <f t="shared" si="51"/>
        <v>3726.6041666666665</v>
      </c>
      <c r="N451" s="344">
        <f ca="1" t="shared" si="46"/>
        <v>11</v>
      </c>
      <c r="O451" s="348">
        <f t="shared" si="52"/>
        <v>40992.64583333333</v>
      </c>
      <c r="P451" s="578" t="s">
        <v>2002</v>
      </c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</row>
    <row r="452" spans="2:47" s="37" customFormat="1" ht="38.25" customHeight="1">
      <c r="B452" s="564">
        <v>44229</v>
      </c>
      <c r="C452" s="578" t="s">
        <v>3557</v>
      </c>
      <c r="D452" s="341" t="s">
        <v>3630</v>
      </c>
      <c r="E452" s="578" t="s">
        <v>3558</v>
      </c>
      <c r="F452" s="579" t="s">
        <v>3559</v>
      </c>
      <c r="G452" s="579" t="s">
        <v>3560</v>
      </c>
      <c r="H452" s="579" t="s">
        <v>437</v>
      </c>
      <c r="I452" s="578">
        <v>81698.41</v>
      </c>
      <c r="J452" s="578">
        <v>57.8717</v>
      </c>
      <c r="K452" s="578">
        <f t="shared" si="48"/>
        <v>1411.7160892111344</v>
      </c>
      <c r="L452" s="578">
        <v>48</v>
      </c>
      <c r="M452" s="580">
        <f t="shared" si="51"/>
        <v>1702.0502083333333</v>
      </c>
      <c r="N452" s="344">
        <f ca="1">IF(B452&lt;&gt;0,(ROUND((NOW()-B452)/30,0)),0)</f>
        <v>11</v>
      </c>
      <c r="O452" s="348">
        <f t="shared" si="52"/>
        <v>18722.552291666667</v>
      </c>
      <c r="P452" s="578" t="s">
        <v>2536</v>
      </c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</row>
    <row r="453" spans="2:47" s="37" customFormat="1" ht="39" customHeight="1">
      <c r="B453" s="564">
        <v>44229</v>
      </c>
      <c r="C453" s="578" t="s">
        <v>3557</v>
      </c>
      <c r="D453" s="341" t="s">
        <v>3631</v>
      </c>
      <c r="E453" s="578" t="s">
        <v>3558</v>
      </c>
      <c r="F453" s="579" t="s">
        <v>3562</v>
      </c>
      <c r="G453" s="579" t="s">
        <v>3869</v>
      </c>
      <c r="H453" s="579" t="s">
        <v>437</v>
      </c>
      <c r="I453" s="578">
        <v>81698.41</v>
      </c>
      <c r="J453" s="578">
        <v>57.8717</v>
      </c>
      <c r="K453" s="578">
        <f t="shared" si="48"/>
        <v>1411.7160892111344</v>
      </c>
      <c r="L453" s="578">
        <v>48</v>
      </c>
      <c r="M453" s="580">
        <f t="shared" si="51"/>
        <v>1702.0502083333333</v>
      </c>
      <c r="N453" s="344">
        <f ca="1" t="shared" si="46"/>
        <v>11</v>
      </c>
      <c r="O453" s="348">
        <f t="shared" si="52"/>
        <v>18722.552291666667</v>
      </c>
      <c r="P453" s="578" t="s">
        <v>2536</v>
      </c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</row>
    <row r="454" spans="2:47" s="37" customFormat="1" ht="40.5" customHeight="1">
      <c r="B454" s="564">
        <v>44229</v>
      </c>
      <c r="C454" s="578" t="s">
        <v>3557</v>
      </c>
      <c r="D454" s="341" t="s">
        <v>3632</v>
      </c>
      <c r="E454" s="578" t="s">
        <v>3558</v>
      </c>
      <c r="F454" s="579" t="s">
        <v>3563</v>
      </c>
      <c r="G454" s="581" t="s">
        <v>3564</v>
      </c>
      <c r="H454" s="579" t="s">
        <v>437</v>
      </c>
      <c r="I454" s="578">
        <v>81698.41</v>
      </c>
      <c r="J454" s="578">
        <v>57.8717</v>
      </c>
      <c r="K454" s="578">
        <f t="shared" si="48"/>
        <v>1411.7160892111344</v>
      </c>
      <c r="L454" s="578">
        <v>48</v>
      </c>
      <c r="M454" s="580">
        <f t="shared" si="51"/>
        <v>1702.0502083333333</v>
      </c>
      <c r="N454" s="344">
        <f ca="1" t="shared" si="46"/>
        <v>11</v>
      </c>
      <c r="O454" s="348">
        <f t="shared" si="52"/>
        <v>18722.552291666667</v>
      </c>
      <c r="P454" s="578" t="s">
        <v>2536</v>
      </c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</row>
    <row r="455" spans="2:47" s="37" customFormat="1" ht="38.25" customHeight="1">
      <c r="B455" s="564">
        <v>44229</v>
      </c>
      <c r="C455" s="578" t="s">
        <v>3557</v>
      </c>
      <c r="D455" s="341" t="s">
        <v>3633</v>
      </c>
      <c r="E455" s="578" t="s">
        <v>3565</v>
      </c>
      <c r="F455" s="579" t="s">
        <v>3566</v>
      </c>
      <c r="G455" s="581" t="s">
        <v>3870</v>
      </c>
      <c r="H455" s="579" t="s">
        <v>437</v>
      </c>
      <c r="I455" s="578">
        <v>86797.2</v>
      </c>
      <c r="J455" s="578">
        <v>57.8717</v>
      </c>
      <c r="K455" s="578">
        <f t="shared" si="48"/>
        <v>1499.8211561091173</v>
      </c>
      <c r="L455" s="578">
        <v>48</v>
      </c>
      <c r="M455" s="580">
        <f t="shared" si="51"/>
        <v>1808.2749999999999</v>
      </c>
      <c r="N455" s="344">
        <f ca="1" t="shared" si="46"/>
        <v>11</v>
      </c>
      <c r="O455" s="348">
        <f t="shared" si="52"/>
        <v>19891.024999999998</v>
      </c>
      <c r="P455" s="578" t="s">
        <v>2536</v>
      </c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</row>
    <row r="456" spans="2:47" s="37" customFormat="1" ht="54.75" customHeight="1">
      <c r="B456" s="564">
        <v>44229</v>
      </c>
      <c r="C456" s="578" t="s">
        <v>3557</v>
      </c>
      <c r="D456" s="341" t="s">
        <v>3634</v>
      </c>
      <c r="E456" s="578" t="s">
        <v>3565</v>
      </c>
      <c r="F456" s="579" t="s">
        <v>3567</v>
      </c>
      <c r="G456" s="579" t="s">
        <v>3570</v>
      </c>
      <c r="H456" s="579" t="s">
        <v>437</v>
      </c>
      <c r="I456" s="578">
        <v>86797.2</v>
      </c>
      <c r="J456" s="578">
        <v>57.8717</v>
      </c>
      <c r="K456" s="578">
        <f t="shared" si="48"/>
        <v>1499.8211561091173</v>
      </c>
      <c r="L456" s="578">
        <v>48</v>
      </c>
      <c r="M456" s="580">
        <f t="shared" si="51"/>
        <v>1808.2749999999999</v>
      </c>
      <c r="N456" s="344">
        <f ca="1" t="shared" si="46"/>
        <v>11</v>
      </c>
      <c r="O456" s="348">
        <f t="shared" si="52"/>
        <v>19891.024999999998</v>
      </c>
      <c r="P456" s="578" t="s">
        <v>2536</v>
      </c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</row>
    <row r="457" spans="2:47" s="37" customFormat="1" ht="40.5" customHeight="1">
      <c r="B457" s="564">
        <v>44229</v>
      </c>
      <c r="C457" s="578" t="s">
        <v>3557</v>
      </c>
      <c r="D457" s="341" t="s">
        <v>3635</v>
      </c>
      <c r="E457" s="578" t="s">
        <v>3565</v>
      </c>
      <c r="F457" s="579" t="s">
        <v>3568</v>
      </c>
      <c r="G457" s="579" t="s">
        <v>3571</v>
      </c>
      <c r="H457" s="579" t="s">
        <v>437</v>
      </c>
      <c r="I457" s="578">
        <v>86797.2</v>
      </c>
      <c r="J457" s="578">
        <v>57.8717</v>
      </c>
      <c r="K457" s="578">
        <f t="shared" si="48"/>
        <v>1499.8211561091173</v>
      </c>
      <c r="L457" s="578">
        <v>48</v>
      </c>
      <c r="M457" s="580">
        <f t="shared" si="51"/>
        <v>1808.2749999999999</v>
      </c>
      <c r="N457" s="344">
        <f ca="1" t="shared" si="46"/>
        <v>11</v>
      </c>
      <c r="O457" s="348">
        <f t="shared" si="52"/>
        <v>19891.024999999998</v>
      </c>
      <c r="P457" s="578" t="s">
        <v>2536</v>
      </c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</row>
    <row r="458" spans="2:47" s="37" customFormat="1" ht="53.25" customHeight="1">
      <c r="B458" s="564">
        <v>44229</v>
      </c>
      <c r="C458" s="578" t="s">
        <v>3557</v>
      </c>
      <c r="D458" s="341" t="s">
        <v>3636</v>
      </c>
      <c r="E458" s="578" t="s">
        <v>3565</v>
      </c>
      <c r="F458" s="579" t="s">
        <v>3569</v>
      </c>
      <c r="G458" s="579" t="s">
        <v>3871</v>
      </c>
      <c r="H458" s="579" t="s">
        <v>437</v>
      </c>
      <c r="I458" s="578">
        <v>86797.2</v>
      </c>
      <c r="J458" s="578">
        <v>57.8717</v>
      </c>
      <c r="K458" s="582">
        <f t="shared" si="48"/>
        <v>1499.8211561091173</v>
      </c>
      <c r="L458" s="578">
        <v>48</v>
      </c>
      <c r="M458" s="580">
        <f t="shared" si="51"/>
        <v>1808.2749999999999</v>
      </c>
      <c r="N458" s="344">
        <f ca="1" t="shared" si="46"/>
        <v>11</v>
      </c>
      <c r="O458" s="348">
        <f t="shared" si="52"/>
        <v>19891.024999999998</v>
      </c>
      <c r="P458" s="578" t="s">
        <v>2536</v>
      </c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</row>
    <row r="459" spans="2:47" s="462" customFormat="1" ht="53.25" customHeight="1">
      <c r="B459" s="620">
        <v>44383</v>
      </c>
      <c r="C459" s="615" t="s">
        <v>3785</v>
      </c>
      <c r="D459" s="606" t="s">
        <v>3724</v>
      </c>
      <c r="E459" s="621" t="s">
        <v>3813</v>
      </c>
      <c r="F459" s="622" t="s">
        <v>3788</v>
      </c>
      <c r="G459" s="622" t="s">
        <v>3564</v>
      </c>
      <c r="H459" s="623" t="s">
        <v>437</v>
      </c>
      <c r="I459" s="615">
        <v>73445.48</v>
      </c>
      <c r="J459" s="615">
        <v>57.8717</v>
      </c>
      <c r="K459" s="624">
        <f t="shared" si="48"/>
        <v>1269.1087353576963</v>
      </c>
      <c r="L459" s="615">
        <v>12</v>
      </c>
      <c r="M459" s="625">
        <f t="shared" si="51"/>
        <v>6120.456666666666</v>
      </c>
      <c r="N459" s="612">
        <f ca="1" t="shared" si="46"/>
        <v>6</v>
      </c>
      <c r="O459" s="613">
        <f t="shared" si="52"/>
        <v>36722.74</v>
      </c>
      <c r="P459" s="615" t="s">
        <v>3789</v>
      </c>
      <c r="Q459" s="461"/>
      <c r="R459" s="461"/>
      <c r="S459" s="461"/>
      <c r="T459" s="461"/>
      <c r="U459" s="461"/>
      <c r="V459" s="461"/>
      <c r="W459" s="461"/>
      <c r="X459" s="461"/>
      <c r="Y459" s="461"/>
      <c r="Z459" s="461"/>
      <c r="AA459" s="461"/>
      <c r="AB459" s="461"/>
      <c r="AC459" s="461"/>
      <c r="AD459" s="461"/>
      <c r="AE459" s="461"/>
      <c r="AF459" s="461"/>
      <c r="AG459" s="461"/>
      <c r="AH459" s="461"/>
      <c r="AI459" s="461"/>
      <c r="AJ459" s="461"/>
      <c r="AK459" s="461"/>
      <c r="AL459" s="461"/>
      <c r="AM459" s="461"/>
      <c r="AN459" s="461"/>
      <c r="AO459" s="461"/>
      <c r="AP459" s="461"/>
      <c r="AQ459" s="461"/>
      <c r="AR459" s="461"/>
      <c r="AS459" s="461"/>
      <c r="AT459" s="461"/>
      <c r="AU459" s="461"/>
    </row>
    <row r="460" spans="2:47" s="37" customFormat="1" ht="53.25" customHeight="1">
      <c r="B460" s="564">
        <v>44410</v>
      </c>
      <c r="C460" s="578" t="s">
        <v>3821</v>
      </c>
      <c r="D460" s="341" t="s">
        <v>3822</v>
      </c>
      <c r="E460" s="339" t="s">
        <v>3823</v>
      </c>
      <c r="F460" s="581" t="s">
        <v>42</v>
      </c>
      <c r="G460" s="581" t="s">
        <v>3824</v>
      </c>
      <c r="H460" s="579" t="s">
        <v>437</v>
      </c>
      <c r="I460" s="578">
        <v>18290</v>
      </c>
      <c r="J460" s="578">
        <v>56.9927</v>
      </c>
      <c r="K460" s="582">
        <f t="shared" si="48"/>
        <v>320.9182930445478</v>
      </c>
      <c r="L460" s="578">
        <v>60</v>
      </c>
      <c r="M460" s="580">
        <f t="shared" si="51"/>
        <v>304.8333333333333</v>
      </c>
      <c r="N460" s="344">
        <f ca="1" t="shared" si="46"/>
        <v>5</v>
      </c>
      <c r="O460" s="348">
        <f t="shared" si="52"/>
        <v>1524.1666666666665</v>
      </c>
      <c r="P460" s="578" t="s">
        <v>3825</v>
      </c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</row>
    <row r="461" spans="2:47" s="37" customFormat="1" ht="50.25" customHeight="1">
      <c r="B461" s="564">
        <v>44411</v>
      </c>
      <c r="C461" s="578" t="s">
        <v>3784</v>
      </c>
      <c r="D461" s="341" t="s">
        <v>3728</v>
      </c>
      <c r="E461" s="578" t="s">
        <v>3768</v>
      </c>
      <c r="F461" s="579" t="s">
        <v>3725</v>
      </c>
      <c r="G461" s="579" t="s">
        <v>3871</v>
      </c>
      <c r="H461" s="579" t="s">
        <v>437</v>
      </c>
      <c r="I461" s="578">
        <v>19470</v>
      </c>
      <c r="J461" s="578">
        <v>56.9622</v>
      </c>
      <c r="K461" s="582">
        <f t="shared" si="48"/>
        <v>341.80561846277004</v>
      </c>
      <c r="L461" s="578">
        <v>60</v>
      </c>
      <c r="M461" s="580">
        <f t="shared" si="51"/>
        <v>324.5</v>
      </c>
      <c r="N461" s="344">
        <f ca="1" t="shared" si="46"/>
        <v>5</v>
      </c>
      <c r="O461" s="348">
        <f t="shared" si="52"/>
        <v>1622.5</v>
      </c>
      <c r="P461" s="578" t="s">
        <v>3726</v>
      </c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</row>
    <row r="462" spans="2:47" s="37" customFormat="1" ht="45.75" customHeight="1">
      <c r="B462" s="564">
        <v>44412</v>
      </c>
      <c r="C462" s="578" t="s">
        <v>3727</v>
      </c>
      <c r="D462" s="341" t="s">
        <v>3730</v>
      </c>
      <c r="E462" s="578" t="s">
        <v>3819</v>
      </c>
      <c r="F462" s="579" t="s">
        <v>3729</v>
      </c>
      <c r="G462" s="579" t="s">
        <v>3872</v>
      </c>
      <c r="H462" s="579" t="s">
        <v>437</v>
      </c>
      <c r="I462" s="578">
        <v>12075.01</v>
      </c>
      <c r="J462" s="578">
        <v>56.9852</v>
      </c>
      <c r="K462" s="582">
        <f t="shared" si="48"/>
        <v>211.8972996497336</v>
      </c>
      <c r="L462" s="578">
        <v>48</v>
      </c>
      <c r="M462" s="580">
        <f t="shared" si="51"/>
        <v>251.56270833333335</v>
      </c>
      <c r="N462" s="344">
        <f ca="1" t="shared" si="46"/>
        <v>5</v>
      </c>
      <c r="O462" s="348">
        <f t="shared" si="52"/>
        <v>1257.8135416666667</v>
      </c>
      <c r="P462" s="578" t="s">
        <v>2174</v>
      </c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</row>
    <row r="463" spans="2:47" s="37" customFormat="1" ht="53.25" customHeight="1">
      <c r="B463" s="564">
        <v>44412</v>
      </c>
      <c r="C463" s="578" t="s">
        <v>3727</v>
      </c>
      <c r="D463" s="341" t="s">
        <v>3731</v>
      </c>
      <c r="E463" s="578" t="s">
        <v>3814</v>
      </c>
      <c r="F463" s="579" t="s">
        <v>3729</v>
      </c>
      <c r="G463" s="579" t="s">
        <v>3873</v>
      </c>
      <c r="H463" s="583" t="s">
        <v>3764</v>
      </c>
      <c r="I463" s="578">
        <v>12075.01</v>
      </c>
      <c r="J463" s="578">
        <v>56.9852</v>
      </c>
      <c r="K463" s="582">
        <f t="shared" si="48"/>
        <v>211.8972996497336</v>
      </c>
      <c r="L463" s="578">
        <v>48</v>
      </c>
      <c r="M463" s="580">
        <f t="shared" si="51"/>
        <v>251.56270833333335</v>
      </c>
      <c r="N463" s="344">
        <f aca="true" ca="1" t="shared" si="53" ref="N463:N482">IF(B463&lt;&gt;0,(ROUND((NOW()-B463)/30,0)),0)</f>
        <v>5</v>
      </c>
      <c r="O463" s="348">
        <f aca="true" t="shared" si="54" ref="O463:O482">(M463*N463)</f>
        <v>1257.8135416666667</v>
      </c>
      <c r="P463" s="578" t="s">
        <v>2174</v>
      </c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</row>
    <row r="464" spans="2:47" s="37" customFormat="1" ht="39.75" customHeight="1">
      <c r="B464" s="564">
        <v>44412</v>
      </c>
      <c r="C464" s="578" t="s">
        <v>3727</v>
      </c>
      <c r="D464" s="341" t="s">
        <v>3732</v>
      </c>
      <c r="E464" s="578" t="s">
        <v>3769</v>
      </c>
      <c r="F464" s="579" t="s">
        <v>3733</v>
      </c>
      <c r="G464" s="579" t="s">
        <v>3873</v>
      </c>
      <c r="H464" s="583" t="s">
        <v>3764</v>
      </c>
      <c r="I464" s="578">
        <v>56640</v>
      </c>
      <c r="J464" s="578">
        <v>56.9852</v>
      </c>
      <c r="K464" s="582">
        <f t="shared" si="48"/>
        <v>993.9422867691962</v>
      </c>
      <c r="L464" s="578">
        <v>48</v>
      </c>
      <c r="M464" s="580">
        <f t="shared" si="51"/>
        <v>1180</v>
      </c>
      <c r="N464" s="344">
        <f ca="1" t="shared" si="53"/>
        <v>5</v>
      </c>
      <c r="O464" s="348">
        <f t="shared" si="54"/>
        <v>5900</v>
      </c>
      <c r="P464" s="578" t="s">
        <v>2174</v>
      </c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</row>
    <row r="465" spans="2:47" s="37" customFormat="1" ht="44.25" customHeight="1">
      <c r="B465" s="564">
        <v>44412</v>
      </c>
      <c r="C465" s="578" t="s">
        <v>3727</v>
      </c>
      <c r="D465" s="341" t="s">
        <v>3759</v>
      </c>
      <c r="E465" s="578" t="s">
        <v>3815</v>
      </c>
      <c r="F465" s="579" t="s">
        <v>3733</v>
      </c>
      <c r="G465" s="579" t="s">
        <v>3875</v>
      </c>
      <c r="H465" s="583" t="s">
        <v>3764</v>
      </c>
      <c r="I465" s="578">
        <v>50740</v>
      </c>
      <c r="J465" s="578">
        <v>56.9852</v>
      </c>
      <c r="K465" s="582">
        <f t="shared" si="48"/>
        <v>890.406631897405</v>
      </c>
      <c r="L465" s="578">
        <v>48</v>
      </c>
      <c r="M465" s="580">
        <f t="shared" si="51"/>
        <v>1057.0833333333333</v>
      </c>
      <c r="N465" s="344">
        <f ca="1" t="shared" si="53"/>
        <v>5</v>
      </c>
      <c r="O465" s="348">
        <f t="shared" si="54"/>
        <v>5285.416666666666</v>
      </c>
      <c r="P465" s="583" t="s">
        <v>3755</v>
      </c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</row>
    <row r="466" spans="2:47" s="37" customFormat="1" ht="42.75" customHeight="1">
      <c r="B466" s="564">
        <v>44428</v>
      </c>
      <c r="C466" s="578" t="s">
        <v>3752</v>
      </c>
      <c r="D466" s="341" t="s">
        <v>3760</v>
      </c>
      <c r="E466" s="578" t="s">
        <v>3770</v>
      </c>
      <c r="F466" s="579" t="s">
        <v>42</v>
      </c>
      <c r="G466" s="579" t="s">
        <v>3873</v>
      </c>
      <c r="H466" s="583" t="s">
        <v>3764</v>
      </c>
      <c r="I466" s="578">
        <v>24544</v>
      </c>
      <c r="J466" s="578">
        <v>56.9913</v>
      </c>
      <c r="K466" s="582">
        <f t="shared" si="48"/>
        <v>430.6622238832945</v>
      </c>
      <c r="L466" s="578">
        <v>48</v>
      </c>
      <c r="M466" s="580">
        <f t="shared" si="51"/>
        <v>511.3333333333333</v>
      </c>
      <c r="N466" s="344">
        <f ca="1" t="shared" si="53"/>
        <v>5</v>
      </c>
      <c r="O466" s="348">
        <f t="shared" si="54"/>
        <v>2556.6666666666665</v>
      </c>
      <c r="P466" s="579" t="s">
        <v>3754</v>
      </c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</row>
    <row r="467" spans="2:47" s="37" customFormat="1" ht="62.25" customHeight="1">
      <c r="B467" s="564">
        <v>44435</v>
      </c>
      <c r="C467" s="578" t="s">
        <v>3756</v>
      </c>
      <c r="D467" s="341" t="s">
        <v>3761</v>
      </c>
      <c r="E467" s="578" t="s">
        <v>3781</v>
      </c>
      <c r="F467" s="579" t="s">
        <v>42</v>
      </c>
      <c r="G467" s="579" t="s">
        <v>3762</v>
      </c>
      <c r="H467" s="579" t="s">
        <v>437</v>
      </c>
      <c r="I467" s="578">
        <v>18878.82</v>
      </c>
      <c r="J467" s="578">
        <v>56.9398</v>
      </c>
      <c r="K467" s="582">
        <f t="shared" si="48"/>
        <v>331.55753971738574</v>
      </c>
      <c r="L467" s="578">
        <v>48</v>
      </c>
      <c r="M467" s="580">
        <f t="shared" si="51"/>
        <v>393.30875</v>
      </c>
      <c r="N467" s="344">
        <f ca="1" t="shared" si="53"/>
        <v>4</v>
      </c>
      <c r="O467" s="348">
        <f t="shared" si="54"/>
        <v>1573.235</v>
      </c>
      <c r="P467" s="579" t="s">
        <v>159</v>
      </c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</row>
    <row r="468" spans="2:47" s="37" customFormat="1" ht="66" customHeight="1">
      <c r="B468" s="564">
        <v>44435</v>
      </c>
      <c r="C468" s="578" t="s">
        <v>3756</v>
      </c>
      <c r="D468" s="341" t="s">
        <v>3753</v>
      </c>
      <c r="E468" s="578" t="s">
        <v>3782</v>
      </c>
      <c r="F468" s="579" t="s">
        <v>42</v>
      </c>
      <c r="G468" s="579" t="s">
        <v>3762</v>
      </c>
      <c r="H468" s="579" t="s">
        <v>437</v>
      </c>
      <c r="I468" s="578">
        <v>10112.6</v>
      </c>
      <c r="J468" s="578">
        <v>56.9398</v>
      </c>
      <c r="K468" s="582">
        <f t="shared" si="48"/>
        <v>177.60160731158172</v>
      </c>
      <c r="L468" s="578">
        <v>48</v>
      </c>
      <c r="M468" s="580">
        <f t="shared" si="51"/>
        <v>210.67916666666667</v>
      </c>
      <c r="N468" s="344">
        <f ca="1" t="shared" si="53"/>
        <v>4</v>
      </c>
      <c r="O468" s="348">
        <f t="shared" si="54"/>
        <v>842.7166666666667</v>
      </c>
      <c r="P468" s="579" t="s">
        <v>159</v>
      </c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</row>
    <row r="469" spans="2:47" s="37" customFormat="1" ht="51.75" customHeight="1">
      <c r="B469" s="564">
        <v>44435</v>
      </c>
      <c r="C469" s="578" t="s">
        <v>3756</v>
      </c>
      <c r="D469" s="341" t="s">
        <v>3757</v>
      </c>
      <c r="E469" s="578" t="s">
        <v>3876</v>
      </c>
      <c r="F469" s="579" t="s">
        <v>42</v>
      </c>
      <c r="G469" s="579" t="s">
        <v>3762</v>
      </c>
      <c r="H469" s="579" t="s">
        <v>437</v>
      </c>
      <c r="I469" s="578">
        <v>11942.78</v>
      </c>
      <c r="J469" s="578">
        <v>56.9398</v>
      </c>
      <c r="K469" s="582">
        <f t="shared" si="48"/>
        <v>209.74397521592982</v>
      </c>
      <c r="L469" s="578">
        <v>48</v>
      </c>
      <c r="M469" s="580">
        <f t="shared" si="51"/>
        <v>248.80791666666667</v>
      </c>
      <c r="N469" s="344">
        <f ca="1" t="shared" si="53"/>
        <v>4</v>
      </c>
      <c r="O469" s="348">
        <f t="shared" si="54"/>
        <v>995.2316666666667</v>
      </c>
      <c r="P469" s="579" t="s">
        <v>159</v>
      </c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</row>
    <row r="470" spans="2:47" s="37" customFormat="1" ht="53.25" customHeight="1">
      <c r="B470" s="564">
        <v>44435</v>
      </c>
      <c r="C470" s="578" t="s">
        <v>3756</v>
      </c>
      <c r="D470" s="341" t="s">
        <v>3758</v>
      </c>
      <c r="E470" s="578" t="s">
        <v>3783</v>
      </c>
      <c r="F470" s="579" t="s">
        <v>42</v>
      </c>
      <c r="G470" s="579" t="s">
        <v>3762</v>
      </c>
      <c r="H470" s="579" t="s">
        <v>437</v>
      </c>
      <c r="I470" s="578">
        <v>11942.78</v>
      </c>
      <c r="J470" s="578">
        <v>56.9398</v>
      </c>
      <c r="K470" s="582">
        <f t="shared" si="48"/>
        <v>209.74397521592982</v>
      </c>
      <c r="L470" s="578">
        <v>48</v>
      </c>
      <c r="M470" s="580">
        <f t="shared" si="51"/>
        <v>248.80791666666667</v>
      </c>
      <c r="N470" s="344">
        <f ca="1" t="shared" si="53"/>
        <v>4</v>
      </c>
      <c r="O470" s="348">
        <f t="shared" si="54"/>
        <v>995.2316666666667</v>
      </c>
      <c r="P470" s="579" t="s">
        <v>159</v>
      </c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</row>
    <row r="471" spans="2:47" s="37" customFormat="1" ht="38.25" customHeight="1">
      <c r="B471" s="564">
        <v>44442</v>
      </c>
      <c r="C471" s="578" t="s">
        <v>3826</v>
      </c>
      <c r="D471" s="341" t="s">
        <v>3827</v>
      </c>
      <c r="E471" s="578" t="s">
        <v>3828</v>
      </c>
      <c r="F471" s="579" t="s">
        <v>42</v>
      </c>
      <c r="G471" s="341" t="s">
        <v>3991</v>
      </c>
      <c r="H471" s="579" t="s">
        <v>437</v>
      </c>
      <c r="I471" s="578">
        <v>7375</v>
      </c>
      <c r="J471" s="578">
        <v>56.7866</v>
      </c>
      <c r="K471" s="582">
        <f t="shared" si="48"/>
        <v>129.8721881570652</v>
      </c>
      <c r="L471" s="578">
        <v>48</v>
      </c>
      <c r="M471" s="580">
        <f t="shared" si="51"/>
        <v>153.64583333333334</v>
      </c>
      <c r="N471" s="344">
        <f ca="1" t="shared" si="53"/>
        <v>4</v>
      </c>
      <c r="O471" s="348">
        <f t="shared" si="54"/>
        <v>614.5833333333334</v>
      </c>
      <c r="P471" s="579" t="s">
        <v>3834</v>
      </c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</row>
    <row r="472" spans="2:47" s="37" customFormat="1" ht="43.5" customHeight="1">
      <c r="B472" s="564">
        <v>44442</v>
      </c>
      <c r="C472" s="578" t="s">
        <v>3826</v>
      </c>
      <c r="D472" s="341" t="s">
        <v>3829</v>
      </c>
      <c r="E472" s="578" t="s">
        <v>3828</v>
      </c>
      <c r="F472" s="579" t="s">
        <v>42</v>
      </c>
      <c r="G472" s="341" t="s">
        <v>3991</v>
      </c>
      <c r="H472" s="579" t="s">
        <v>437</v>
      </c>
      <c r="I472" s="578">
        <v>7375</v>
      </c>
      <c r="J472" s="578">
        <v>56.7866</v>
      </c>
      <c r="K472" s="582">
        <f t="shared" si="48"/>
        <v>129.8721881570652</v>
      </c>
      <c r="L472" s="578">
        <v>48</v>
      </c>
      <c r="M472" s="580">
        <f t="shared" si="51"/>
        <v>153.64583333333334</v>
      </c>
      <c r="N472" s="344">
        <f ca="1" t="shared" si="53"/>
        <v>4</v>
      </c>
      <c r="O472" s="348">
        <f t="shared" si="54"/>
        <v>614.5833333333334</v>
      </c>
      <c r="P472" s="579" t="s">
        <v>3834</v>
      </c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</row>
    <row r="473" spans="2:47" s="37" customFormat="1" ht="35.25" customHeight="1">
      <c r="B473" s="564">
        <v>44442</v>
      </c>
      <c r="C473" s="578" t="s">
        <v>3826</v>
      </c>
      <c r="D473" s="341" t="s">
        <v>3830</v>
      </c>
      <c r="E473" s="578" t="s">
        <v>3828</v>
      </c>
      <c r="F473" s="579" t="s">
        <v>42</v>
      </c>
      <c r="G473" s="341" t="s">
        <v>3991</v>
      </c>
      <c r="H473" s="579" t="s">
        <v>437</v>
      </c>
      <c r="I473" s="578">
        <v>7375</v>
      </c>
      <c r="J473" s="578">
        <v>56.7866</v>
      </c>
      <c r="K473" s="582">
        <f t="shared" si="48"/>
        <v>129.8721881570652</v>
      </c>
      <c r="L473" s="578">
        <v>48</v>
      </c>
      <c r="M473" s="580">
        <f t="shared" si="51"/>
        <v>153.64583333333334</v>
      </c>
      <c r="N473" s="344">
        <f ca="1" t="shared" si="53"/>
        <v>4</v>
      </c>
      <c r="O473" s="348">
        <f t="shared" si="54"/>
        <v>614.5833333333334</v>
      </c>
      <c r="P473" s="579" t="s">
        <v>3834</v>
      </c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</row>
    <row r="474" spans="2:47" s="37" customFormat="1" ht="38.25" customHeight="1">
      <c r="B474" s="564">
        <v>44442</v>
      </c>
      <c r="C474" s="578" t="s">
        <v>3826</v>
      </c>
      <c r="D474" s="341" t="s">
        <v>3831</v>
      </c>
      <c r="E474" s="578" t="s">
        <v>3828</v>
      </c>
      <c r="F474" s="579" t="s">
        <v>42</v>
      </c>
      <c r="G474" s="341" t="s">
        <v>3991</v>
      </c>
      <c r="H474" s="579" t="s">
        <v>437</v>
      </c>
      <c r="I474" s="578">
        <v>7375</v>
      </c>
      <c r="J474" s="578">
        <v>56.7866</v>
      </c>
      <c r="K474" s="582">
        <f t="shared" si="48"/>
        <v>129.8721881570652</v>
      </c>
      <c r="L474" s="578">
        <v>48</v>
      </c>
      <c r="M474" s="580">
        <f t="shared" si="51"/>
        <v>153.64583333333334</v>
      </c>
      <c r="N474" s="344">
        <f ca="1" t="shared" si="53"/>
        <v>4</v>
      </c>
      <c r="O474" s="348">
        <f t="shared" si="54"/>
        <v>614.5833333333334</v>
      </c>
      <c r="P474" s="579" t="s">
        <v>3834</v>
      </c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</row>
    <row r="475" spans="2:47" s="37" customFormat="1" ht="36" customHeight="1">
      <c r="B475" s="564">
        <v>44442</v>
      </c>
      <c r="C475" s="578" t="s">
        <v>3826</v>
      </c>
      <c r="D475" s="341" t="s">
        <v>3832</v>
      </c>
      <c r="E475" s="578" t="s">
        <v>3828</v>
      </c>
      <c r="F475" s="579" t="s">
        <v>42</v>
      </c>
      <c r="G475" s="341" t="s">
        <v>3991</v>
      </c>
      <c r="H475" s="579" t="s">
        <v>437</v>
      </c>
      <c r="I475" s="578">
        <v>7375</v>
      </c>
      <c r="J475" s="578">
        <v>56.7866</v>
      </c>
      <c r="K475" s="582">
        <f t="shared" si="48"/>
        <v>129.8721881570652</v>
      </c>
      <c r="L475" s="578">
        <v>48</v>
      </c>
      <c r="M475" s="580">
        <f t="shared" si="51"/>
        <v>153.64583333333334</v>
      </c>
      <c r="N475" s="344">
        <f ca="1" t="shared" si="53"/>
        <v>4</v>
      </c>
      <c r="O475" s="348">
        <f t="shared" si="54"/>
        <v>614.5833333333334</v>
      </c>
      <c r="P475" s="579" t="s">
        <v>3834</v>
      </c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</row>
    <row r="476" spans="2:47" s="37" customFormat="1" ht="36" customHeight="1">
      <c r="B476" s="564">
        <v>44442</v>
      </c>
      <c r="C476" s="578" t="s">
        <v>3826</v>
      </c>
      <c r="D476" s="341" t="s">
        <v>3833</v>
      </c>
      <c r="E476" s="578" t="s">
        <v>3828</v>
      </c>
      <c r="F476" s="579" t="s">
        <v>42</v>
      </c>
      <c r="G476" s="341" t="s">
        <v>3991</v>
      </c>
      <c r="H476" s="579" t="s">
        <v>437</v>
      </c>
      <c r="I476" s="578">
        <v>7375</v>
      </c>
      <c r="J476" s="578">
        <v>56.7866</v>
      </c>
      <c r="K476" s="582">
        <f t="shared" si="48"/>
        <v>129.8721881570652</v>
      </c>
      <c r="L476" s="578">
        <v>48</v>
      </c>
      <c r="M476" s="580">
        <f t="shared" si="51"/>
        <v>153.64583333333334</v>
      </c>
      <c r="N476" s="344">
        <f ca="1" t="shared" si="53"/>
        <v>4</v>
      </c>
      <c r="O476" s="348">
        <f t="shared" si="54"/>
        <v>614.5833333333334</v>
      </c>
      <c r="P476" s="579" t="s">
        <v>3834</v>
      </c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</row>
    <row r="477" spans="2:47" s="37" customFormat="1" ht="78.75" customHeight="1">
      <c r="B477" s="564">
        <v>44448</v>
      </c>
      <c r="C477" s="578" t="s">
        <v>3908</v>
      </c>
      <c r="D477" s="341" t="s">
        <v>3910</v>
      </c>
      <c r="E477" s="578" t="s">
        <v>3965</v>
      </c>
      <c r="F477" s="579" t="s">
        <v>42</v>
      </c>
      <c r="G477" s="579" t="s">
        <v>3564</v>
      </c>
      <c r="H477" s="579" t="s">
        <v>437</v>
      </c>
      <c r="I477" s="578">
        <v>79880.42</v>
      </c>
      <c r="J477" s="578">
        <v>56.7535</v>
      </c>
      <c r="K477" s="582">
        <f t="shared" si="48"/>
        <v>1407.4976873672988</v>
      </c>
      <c r="L477" s="578">
        <v>48</v>
      </c>
      <c r="M477" s="580">
        <f t="shared" si="51"/>
        <v>1664.1754166666667</v>
      </c>
      <c r="N477" s="344">
        <f ca="1" t="shared" si="53"/>
        <v>4</v>
      </c>
      <c r="O477" s="348">
        <f t="shared" si="54"/>
        <v>6656.701666666667</v>
      </c>
      <c r="P477" s="579" t="s">
        <v>2002</v>
      </c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</row>
    <row r="478" spans="2:47" s="37" customFormat="1" ht="84.75" customHeight="1">
      <c r="B478" s="564">
        <v>44448</v>
      </c>
      <c r="C478" s="578" t="s">
        <v>3908</v>
      </c>
      <c r="D478" s="341" t="s">
        <v>3911</v>
      </c>
      <c r="E478" s="578" t="s">
        <v>3909</v>
      </c>
      <c r="F478" s="579" t="s">
        <v>42</v>
      </c>
      <c r="G478" s="579" t="s">
        <v>3564</v>
      </c>
      <c r="H478" s="579" t="s">
        <v>437</v>
      </c>
      <c r="I478" s="578">
        <v>79880.42</v>
      </c>
      <c r="J478" s="578">
        <v>56.7535</v>
      </c>
      <c r="K478" s="582">
        <f t="shared" si="48"/>
        <v>1407.4976873672988</v>
      </c>
      <c r="L478" s="578">
        <v>48</v>
      </c>
      <c r="M478" s="580">
        <f t="shared" si="51"/>
        <v>1664.1754166666667</v>
      </c>
      <c r="N478" s="344">
        <f ca="1" t="shared" si="53"/>
        <v>4</v>
      </c>
      <c r="O478" s="348">
        <f t="shared" si="54"/>
        <v>6656.701666666667</v>
      </c>
      <c r="P478" s="579" t="s">
        <v>2002</v>
      </c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</row>
    <row r="479" spans="2:47" s="37" customFormat="1" ht="84.75" customHeight="1">
      <c r="B479" s="564">
        <v>44448</v>
      </c>
      <c r="C479" s="578" t="s">
        <v>3908</v>
      </c>
      <c r="D479" s="341" t="s">
        <v>3912</v>
      </c>
      <c r="E479" s="578" t="s">
        <v>3909</v>
      </c>
      <c r="F479" s="579" t="s">
        <v>42</v>
      </c>
      <c r="G479" s="579" t="s">
        <v>3564</v>
      </c>
      <c r="H479" s="579" t="s">
        <v>437</v>
      </c>
      <c r="I479" s="578">
        <v>79880.42</v>
      </c>
      <c r="J479" s="578">
        <v>56.7535</v>
      </c>
      <c r="K479" s="582">
        <f t="shared" si="48"/>
        <v>1407.4976873672988</v>
      </c>
      <c r="L479" s="578">
        <v>48</v>
      </c>
      <c r="M479" s="580">
        <f t="shared" si="51"/>
        <v>1664.1754166666667</v>
      </c>
      <c r="N479" s="344">
        <f ca="1" t="shared" si="53"/>
        <v>4</v>
      </c>
      <c r="O479" s="348">
        <f t="shared" si="54"/>
        <v>6656.701666666667</v>
      </c>
      <c r="P479" s="579" t="s">
        <v>2002</v>
      </c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</row>
    <row r="480" spans="2:47" s="37" customFormat="1" ht="84.75" customHeight="1">
      <c r="B480" s="564">
        <v>44448</v>
      </c>
      <c r="C480" s="578" t="s">
        <v>3908</v>
      </c>
      <c r="D480" s="341" t="s">
        <v>3913</v>
      </c>
      <c r="E480" s="578" t="s">
        <v>3964</v>
      </c>
      <c r="F480" s="579" t="s">
        <v>42</v>
      </c>
      <c r="G480" s="579" t="s">
        <v>3564</v>
      </c>
      <c r="H480" s="579" t="s">
        <v>437</v>
      </c>
      <c r="I480" s="578">
        <v>79880.42</v>
      </c>
      <c r="J480" s="578">
        <v>56.7535</v>
      </c>
      <c r="K480" s="582">
        <f t="shared" si="48"/>
        <v>1407.4976873672988</v>
      </c>
      <c r="L480" s="578">
        <v>48</v>
      </c>
      <c r="M480" s="580">
        <f t="shared" si="51"/>
        <v>1664.1754166666667</v>
      </c>
      <c r="N480" s="344">
        <f ca="1" t="shared" si="53"/>
        <v>4</v>
      </c>
      <c r="O480" s="348">
        <f t="shared" si="54"/>
        <v>6656.701666666667</v>
      </c>
      <c r="P480" s="579" t="s">
        <v>2002</v>
      </c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</row>
    <row r="481" spans="2:47" s="37" customFormat="1" ht="84.75" customHeight="1">
      <c r="B481" s="564">
        <v>44448</v>
      </c>
      <c r="C481" s="578" t="s">
        <v>3908</v>
      </c>
      <c r="D481" s="341" t="s">
        <v>3914</v>
      </c>
      <c r="E481" s="578" t="s">
        <v>3909</v>
      </c>
      <c r="F481" s="579" t="s">
        <v>42</v>
      </c>
      <c r="G481" s="579" t="s">
        <v>3564</v>
      </c>
      <c r="H481" s="579" t="s">
        <v>437</v>
      </c>
      <c r="I481" s="578">
        <v>79880.42</v>
      </c>
      <c r="J481" s="578">
        <v>56.7535</v>
      </c>
      <c r="K481" s="582">
        <f t="shared" si="48"/>
        <v>1407.4976873672988</v>
      </c>
      <c r="L481" s="578">
        <v>48</v>
      </c>
      <c r="M481" s="580">
        <f t="shared" si="51"/>
        <v>1664.1754166666667</v>
      </c>
      <c r="N481" s="344">
        <f ca="1" t="shared" si="53"/>
        <v>4</v>
      </c>
      <c r="O481" s="348">
        <f t="shared" si="54"/>
        <v>6656.701666666667</v>
      </c>
      <c r="P481" s="579" t="s">
        <v>2002</v>
      </c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</row>
    <row r="482" spans="2:47" s="37" customFormat="1" ht="84.75" customHeight="1">
      <c r="B482" s="564">
        <v>44448</v>
      </c>
      <c r="C482" s="578" t="s">
        <v>3908</v>
      </c>
      <c r="D482" s="341" t="s">
        <v>3915</v>
      </c>
      <c r="E482" s="578" t="s">
        <v>3909</v>
      </c>
      <c r="F482" s="579" t="s">
        <v>42</v>
      </c>
      <c r="G482" s="579" t="s">
        <v>3564</v>
      </c>
      <c r="H482" s="579" t="s">
        <v>437</v>
      </c>
      <c r="I482" s="578">
        <v>79880.42</v>
      </c>
      <c r="J482" s="578">
        <v>56.7535</v>
      </c>
      <c r="K482" s="582">
        <f t="shared" si="48"/>
        <v>1407.4976873672988</v>
      </c>
      <c r="L482" s="578">
        <v>48</v>
      </c>
      <c r="M482" s="580">
        <f t="shared" si="51"/>
        <v>1664.1754166666667</v>
      </c>
      <c r="N482" s="344">
        <f ca="1" t="shared" si="53"/>
        <v>4</v>
      </c>
      <c r="O482" s="348">
        <f t="shared" si="54"/>
        <v>6656.701666666667</v>
      </c>
      <c r="P482" s="579" t="s">
        <v>2002</v>
      </c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</row>
    <row r="483" spans="2:47" s="37" customFormat="1" ht="84.75" customHeight="1">
      <c r="B483" s="564">
        <v>44448</v>
      </c>
      <c r="C483" s="578" t="s">
        <v>3908</v>
      </c>
      <c r="D483" s="341" t="s">
        <v>3916</v>
      </c>
      <c r="E483" s="578" t="s">
        <v>3909</v>
      </c>
      <c r="F483" s="579" t="s">
        <v>42</v>
      </c>
      <c r="G483" s="579" t="s">
        <v>3564</v>
      </c>
      <c r="H483" s="579" t="s">
        <v>437</v>
      </c>
      <c r="I483" s="578">
        <v>79880.42</v>
      </c>
      <c r="J483" s="578">
        <v>56.7535</v>
      </c>
      <c r="K483" s="582">
        <f t="shared" si="48"/>
        <v>1407.4976873672988</v>
      </c>
      <c r="L483" s="578">
        <v>48</v>
      </c>
      <c r="M483" s="580">
        <f aca="true" t="shared" si="55" ref="M483:M531">I483/L483</f>
        <v>1664.1754166666667</v>
      </c>
      <c r="N483" s="344">
        <f aca="true" ca="1" t="shared" si="56" ref="N483:N531">IF(B483&lt;&gt;0,(ROUND((NOW()-B483)/30,0)),0)</f>
        <v>4</v>
      </c>
      <c r="O483" s="348">
        <f aca="true" t="shared" si="57" ref="O483:O531">(M483*N483)</f>
        <v>6656.701666666667</v>
      </c>
      <c r="P483" s="579" t="s">
        <v>2002</v>
      </c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</row>
    <row r="484" spans="2:47" s="37" customFormat="1" ht="84.75" customHeight="1">
      <c r="B484" s="564">
        <v>44448</v>
      </c>
      <c r="C484" s="578" t="s">
        <v>3908</v>
      </c>
      <c r="D484" s="341" t="s">
        <v>3985</v>
      </c>
      <c r="E484" s="578" t="s">
        <v>3909</v>
      </c>
      <c r="F484" s="579" t="s">
        <v>42</v>
      </c>
      <c r="G484" s="579" t="s">
        <v>3564</v>
      </c>
      <c r="H484" s="579" t="s">
        <v>437</v>
      </c>
      <c r="I484" s="578">
        <v>79880.42</v>
      </c>
      <c r="J484" s="578">
        <v>56.7535</v>
      </c>
      <c r="K484" s="582">
        <f t="shared" si="48"/>
        <v>1407.4976873672988</v>
      </c>
      <c r="L484" s="578">
        <v>48</v>
      </c>
      <c r="M484" s="580">
        <f t="shared" si="55"/>
        <v>1664.1754166666667</v>
      </c>
      <c r="N484" s="344">
        <f ca="1" t="shared" si="56"/>
        <v>4</v>
      </c>
      <c r="O484" s="348">
        <f t="shared" si="57"/>
        <v>6656.701666666667</v>
      </c>
      <c r="P484" s="579" t="s">
        <v>2002</v>
      </c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</row>
    <row r="485" spans="2:47" s="37" customFormat="1" ht="54.75" customHeight="1">
      <c r="B485" s="564">
        <v>44448</v>
      </c>
      <c r="C485" s="578" t="s">
        <v>3908</v>
      </c>
      <c r="D485" s="341" t="s">
        <v>3986</v>
      </c>
      <c r="E485" s="578" t="s">
        <v>3963</v>
      </c>
      <c r="F485" s="579" t="s">
        <v>3967</v>
      </c>
      <c r="G485" s="579" t="s">
        <v>3564</v>
      </c>
      <c r="H485" s="579" t="s">
        <v>437</v>
      </c>
      <c r="I485" s="578">
        <v>8290.69</v>
      </c>
      <c r="J485" s="578">
        <v>56.7535</v>
      </c>
      <c r="K485" s="582">
        <f t="shared" si="48"/>
        <v>146.08244425453938</v>
      </c>
      <c r="L485" s="578">
        <v>36</v>
      </c>
      <c r="M485" s="580">
        <f t="shared" si="55"/>
        <v>230.29694444444445</v>
      </c>
      <c r="N485" s="344">
        <f ca="1" t="shared" si="56"/>
        <v>4</v>
      </c>
      <c r="O485" s="348">
        <f t="shared" si="57"/>
        <v>921.1877777777778</v>
      </c>
      <c r="P485" s="579" t="s">
        <v>2002</v>
      </c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</row>
    <row r="486" spans="2:47" s="37" customFormat="1" ht="54.75" customHeight="1">
      <c r="B486" s="564">
        <v>44448</v>
      </c>
      <c r="C486" s="578" t="s">
        <v>3908</v>
      </c>
      <c r="D486" s="341" t="s">
        <v>3917</v>
      </c>
      <c r="E486" s="578" t="s">
        <v>3963</v>
      </c>
      <c r="F486" s="579" t="s">
        <v>3967</v>
      </c>
      <c r="G486" s="579" t="s">
        <v>3564</v>
      </c>
      <c r="H486" s="579" t="s">
        <v>437</v>
      </c>
      <c r="I486" s="578">
        <v>8290.69</v>
      </c>
      <c r="J486" s="578">
        <v>56.7535</v>
      </c>
      <c r="K486" s="582">
        <f t="shared" si="48"/>
        <v>146.08244425453938</v>
      </c>
      <c r="L486" s="578">
        <v>36</v>
      </c>
      <c r="M486" s="580">
        <f t="shared" si="55"/>
        <v>230.29694444444445</v>
      </c>
      <c r="N486" s="344">
        <f ca="1" t="shared" si="56"/>
        <v>4</v>
      </c>
      <c r="O486" s="348">
        <f t="shared" si="57"/>
        <v>921.1877777777778</v>
      </c>
      <c r="P486" s="579" t="s">
        <v>2002</v>
      </c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</row>
    <row r="487" spans="2:47" s="37" customFormat="1" ht="54.75" customHeight="1">
      <c r="B487" s="564">
        <v>44448</v>
      </c>
      <c r="C487" s="578" t="s">
        <v>3908</v>
      </c>
      <c r="D487" s="341" t="s">
        <v>3918</v>
      </c>
      <c r="E487" s="578" t="s">
        <v>3963</v>
      </c>
      <c r="F487" s="579" t="s">
        <v>3967</v>
      </c>
      <c r="G487" s="579" t="s">
        <v>3564</v>
      </c>
      <c r="H487" s="579" t="s">
        <v>437</v>
      </c>
      <c r="I487" s="578">
        <v>8290.69</v>
      </c>
      <c r="J487" s="578">
        <v>56.7535</v>
      </c>
      <c r="K487" s="582">
        <f t="shared" si="48"/>
        <v>146.08244425453938</v>
      </c>
      <c r="L487" s="578">
        <v>36</v>
      </c>
      <c r="M487" s="580">
        <f t="shared" si="55"/>
        <v>230.29694444444445</v>
      </c>
      <c r="N487" s="344">
        <f ca="1" t="shared" si="56"/>
        <v>4</v>
      </c>
      <c r="O487" s="348">
        <f t="shared" si="57"/>
        <v>921.1877777777778</v>
      </c>
      <c r="P487" s="579" t="s">
        <v>2002</v>
      </c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</row>
    <row r="488" spans="2:47" s="37" customFormat="1" ht="54.75" customHeight="1">
      <c r="B488" s="564">
        <v>44448</v>
      </c>
      <c r="C488" s="578" t="s">
        <v>3908</v>
      </c>
      <c r="D488" s="341" t="s">
        <v>3919</v>
      </c>
      <c r="E488" s="578" t="s">
        <v>3963</v>
      </c>
      <c r="F488" s="579" t="s">
        <v>3967</v>
      </c>
      <c r="G488" s="579" t="s">
        <v>3564</v>
      </c>
      <c r="H488" s="579" t="s">
        <v>437</v>
      </c>
      <c r="I488" s="578">
        <v>8290.69</v>
      </c>
      <c r="J488" s="578">
        <v>56.7535</v>
      </c>
      <c r="K488" s="582">
        <f t="shared" si="48"/>
        <v>146.08244425453938</v>
      </c>
      <c r="L488" s="578">
        <v>36</v>
      </c>
      <c r="M488" s="580">
        <f t="shared" si="55"/>
        <v>230.29694444444445</v>
      </c>
      <c r="N488" s="344">
        <f ca="1" t="shared" si="56"/>
        <v>4</v>
      </c>
      <c r="O488" s="348">
        <f t="shared" si="57"/>
        <v>921.1877777777778</v>
      </c>
      <c r="P488" s="579" t="s">
        <v>2002</v>
      </c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</row>
    <row r="489" spans="2:47" s="37" customFormat="1" ht="54.75" customHeight="1">
      <c r="B489" s="564">
        <v>44448</v>
      </c>
      <c r="C489" s="578" t="s">
        <v>3908</v>
      </c>
      <c r="D489" s="341" t="s">
        <v>3920</v>
      </c>
      <c r="E489" s="578" t="s">
        <v>3963</v>
      </c>
      <c r="F489" s="579" t="s">
        <v>3967</v>
      </c>
      <c r="G489" s="579" t="s">
        <v>3564</v>
      </c>
      <c r="H489" s="579" t="s">
        <v>437</v>
      </c>
      <c r="I489" s="578">
        <v>8290.69</v>
      </c>
      <c r="J489" s="578">
        <v>56.7535</v>
      </c>
      <c r="K489" s="582">
        <f t="shared" si="48"/>
        <v>146.08244425453938</v>
      </c>
      <c r="L489" s="578">
        <v>36</v>
      </c>
      <c r="M489" s="580">
        <f t="shared" si="55"/>
        <v>230.29694444444445</v>
      </c>
      <c r="N489" s="344">
        <f ca="1" t="shared" si="56"/>
        <v>4</v>
      </c>
      <c r="O489" s="348">
        <f t="shared" si="57"/>
        <v>921.1877777777778</v>
      </c>
      <c r="P489" s="579" t="s">
        <v>2002</v>
      </c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</row>
    <row r="490" spans="2:47" s="37" customFormat="1" ht="81.75" customHeight="1">
      <c r="B490" s="564">
        <v>44448</v>
      </c>
      <c r="C490" s="578" t="s">
        <v>3908</v>
      </c>
      <c r="D490" s="341" t="s">
        <v>3921</v>
      </c>
      <c r="E490" s="578" t="s">
        <v>3968</v>
      </c>
      <c r="F490" s="579" t="s">
        <v>3966</v>
      </c>
      <c r="G490" s="579" t="s">
        <v>3564</v>
      </c>
      <c r="H490" s="579" t="s">
        <v>437</v>
      </c>
      <c r="I490" s="578">
        <v>3068</v>
      </c>
      <c r="J490" s="578">
        <v>56.7535</v>
      </c>
      <c r="K490" s="582">
        <f t="shared" si="48"/>
        <v>54.05834001427225</v>
      </c>
      <c r="L490" s="578">
        <v>36</v>
      </c>
      <c r="M490" s="580">
        <f t="shared" si="55"/>
        <v>85.22222222222223</v>
      </c>
      <c r="N490" s="344">
        <f ca="1" t="shared" si="56"/>
        <v>4</v>
      </c>
      <c r="O490" s="348">
        <f t="shared" si="57"/>
        <v>340.8888888888889</v>
      </c>
      <c r="P490" s="579" t="s">
        <v>2002</v>
      </c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</row>
    <row r="491" spans="2:47" s="37" customFormat="1" ht="75" customHeight="1">
      <c r="B491" s="564">
        <v>44448</v>
      </c>
      <c r="C491" s="578" t="s">
        <v>3908</v>
      </c>
      <c r="D491" s="341" t="s">
        <v>3922</v>
      </c>
      <c r="E491" s="578" t="s">
        <v>3968</v>
      </c>
      <c r="F491" s="579" t="s">
        <v>3966</v>
      </c>
      <c r="G491" s="579" t="s">
        <v>3564</v>
      </c>
      <c r="H491" s="579" t="s">
        <v>437</v>
      </c>
      <c r="I491" s="578">
        <v>3068</v>
      </c>
      <c r="J491" s="578">
        <v>56.7535</v>
      </c>
      <c r="K491" s="582">
        <f t="shared" si="48"/>
        <v>54.05834001427225</v>
      </c>
      <c r="L491" s="578">
        <v>36</v>
      </c>
      <c r="M491" s="580">
        <f t="shared" si="55"/>
        <v>85.22222222222223</v>
      </c>
      <c r="N491" s="344">
        <f ca="1" t="shared" si="56"/>
        <v>4</v>
      </c>
      <c r="O491" s="348">
        <f t="shared" si="57"/>
        <v>340.8888888888889</v>
      </c>
      <c r="P491" s="579" t="s">
        <v>2002</v>
      </c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</row>
    <row r="492" spans="2:47" s="37" customFormat="1" ht="75" customHeight="1">
      <c r="B492" s="564">
        <v>44448</v>
      </c>
      <c r="C492" s="578" t="s">
        <v>3908</v>
      </c>
      <c r="D492" s="341" t="s">
        <v>3923</v>
      </c>
      <c r="E492" s="578" t="s">
        <v>3968</v>
      </c>
      <c r="F492" s="579" t="s">
        <v>3966</v>
      </c>
      <c r="G492" s="579" t="s">
        <v>3564</v>
      </c>
      <c r="H492" s="579" t="s">
        <v>437</v>
      </c>
      <c r="I492" s="578">
        <v>3068</v>
      </c>
      <c r="J492" s="578">
        <v>56.7535</v>
      </c>
      <c r="K492" s="582">
        <f t="shared" si="48"/>
        <v>54.05834001427225</v>
      </c>
      <c r="L492" s="578">
        <v>36</v>
      </c>
      <c r="M492" s="580">
        <f t="shared" si="55"/>
        <v>85.22222222222223</v>
      </c>
      <c r="N492" s="344">
        <f ca="1" t="shared" si="56"/>
        <v>4</v>
      </c>
      <c r="O492" s="348">
        <f t="shared" si="57"/>
        <v>340.8888888888889</v>
      </c>
      <c r="P492" s="579" t="s">
        <v>2002</v>
      </c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</row>
    <row r="493" spans="2:47" s="37" customFormat="1" ht="75" customHeight="1">
      <c r="B493" s="564">
        <v>44448</v>
      </c>
      <c r="C493" s="578" t="s">
        <v>3908</v>
      </c>
      <c r="D493" s="341" t="s">
        <v>3924</v>
      </c>
      <c r="E493" s="578" t="s">
        <v>3968</v>
      </c>
      <c r="F493" s="579" t="s">
        <v>3966</v>
      </c>
      <c r="G493" s="579" t="s">
        <v>3564</v>
      </c>
      <c r="H493" s="579" t="s">
        <v>437</v>
      </c>
      <c r="I493" s="578">
        <v>3068</v>
      </c>
      <c r="J493" s="578">
        <v>56.7535</v>
      </c>
      <c r="K493" s="582">
        <f t="shared" si="48"/>
        <v>54.05834001427225</v>
      </c>
      <c r="L493" s="578">
        <v>36</v>
      </c>
      <c r="M493" s="580">
        <f t="shared" si="55"/>
        <v>85.22222222222223</v>
      </c>
      <c r="N493" s="344">
        <f ca="1" t="shared" si="56"/>
        <v>4</v>
      </c>
      <c r="O493" s="348">
        <f t="shared" si="57"/>
        <v>340.8888888888889</v>
      </c>
      <c r="P493" s="579" t="s">
        <v>2002</v>
      </c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</row>
    <row r="494" spans="2:47" s="37" customFormat="1" ht="75" customHeight="1">
      <c r="B494" s="564">
        <v>44448</v>
      </c>
      <c r="C494" s="578" t="s">
        <v>3908</v>
      </c>
      <c r="D494" s="341" t="s">
        <v>3925</v>
      </c>
      <c r="E494" s="578" t="s">
        <v>3968</v>
      </c>
      <c r="F494" s="579" t="s">
        <v>3966</v>
      </c>
      <c r="G494" s="579" t="s">
        <v>3564</v>
      </c>
      <c r="H494" s="579" t="s">
        <v>437</v>
      </c>
      <c r="I494" s="578">
        <v>3068</v>
      </c>
      <c r="J494" s="578">
        <v>56.7535</v>
      </c>
      <c r="K494" s="582">
        <f t="shared" si="48"/>
        <v>54.05834001427225</v>
      </c>
      <c r="L494" s="578">
        <v>36</v>
      </c>
      <c r="M494" s="580">
        <f t="shared" si="55"/>
        <v>85.22222222222223</v>
      </c>
      <c r="N494" s="344">
        <f ca="1" t="shared" si="56"/>
        <v>4</v>
      </c>
      <c r="O494" s="348">
        <f t="shared" si="57"/>
        <v>340.8888888888889</v>
      </c>
      <c r="P494" s="579" t="s">
        <v>2002</v>
      </c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</row>
    <row r="495" spans="2:47" s="37" customFormat="1" ht="75" customHeight="1">
      <c r="B495" s="564">
        <v>44448</v>
      </c>
      <c r="C495" s="578" t="s">
        <v>3908</v>
      </c>
      <c r="D495" s="341" t="s">
        <v>3926</v>
      </c>
      <c r="E495" s="578" t="s">
        <v>3968</v>
      </c>
      <c r="F495" s="579" t="s">
        <v>3966</v>
      </c>
      <c r="G495" s="579" t="s">
        <v>3564</v>
      </c>
      <c r="H495" s="579" t="s">
        <v>437</v>
      </c>
      <c r="I495" s="578">
        <v>3068</v>
      </c>
      <c r="J495" s="578">
        <v>56.7535</v>
      </c>
      <c r="K495" s="582">
        <f t="shared" si="48"/>
        <v>54.05834001427225</v>
      </c>
      <c r="L495" s="578">
        <v>36</v>
      </c>
      <c r="M495" s="580">
        <f t="shared" si="55"/>
        <v>85.22222222222223</v>
      </c>
      <c r="N495" s="344">
        <f ca="1" t="shared" si="56"/>
        <v>4</v>
      </c>
      <c r="O495" s="348">
        <f t="shared" si="57"/>
        <v>340.8888888888889</v>
      </c>
      <c r="P495" s="579" t="s">
        <v>2002</v>
      </c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</row>
    <row r="496" spans="2:47" s="37" customFormat="1" ht="75" customHeight="1">
      <c r="B496" s="564">
        <v>44448</v>
      </c>
      <c r="C496" s="578" t="s">
        <v>3908</v>
      </c>
      <c r="D496" s="341" t="s">
        <v>3927</v>
      </c>
      <c r="E496" s="578" t="s">
        <v>3968</v>
      </c>
      <c r="F496" s="579" t="s">
        <v>3966</v>
      </c>
      <c r="G496" s="579" t="s">
        <v>3564</v>
      </c>
      <c r="H496" s="579" t="s">
        <v>437</v>
      </c>
      <c r="I496" s="578">
        <v>3068</v>
      </c>
      <c r="J496" s="578">
        <v>56.7535</v>
      </c>
      <c r="K496" s="582">
        <f t="shared" si="48"/>
        <v>54.05834001427225</v>
      </c>
      <c r="L496" s="578">
        <v>36</v>
      </c>
      <c r="M496" s="580">
        <f t="shared" si="55"/>
        <v>85.22222222222223</v>
      </c>
      <c r="N496" s="344">
        <f ca="1" t="shared" si="56"/>
        <v>4</v>
      </c>
      <c r="O496" s="348">
        <f t="shared" si="57"/>
        <v>340.8888888888889</v>
      </c>
      <c r="P496" s="579" t="s">
        <v>2002</v>
      </c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</row>
    <row r="497" spans="2:47" s="37" customFormat="1" ht="75" customHeight="1">
      <c r="B497" s="564">
        <v>44448</v>
      </c>
      <c r="C497" s="578" t="s">
        <v>3908</v>
      </c>
      <c r="D497" s="341" t="s">
        <v>3928</v>
      </c>
      <c r="E497" s="578" t="s">
        <v>3968</v>
      </c>
      <c r="F497" s="579" t="s">
        <v>3966</v>
      </c>
      <c r="G497" s="579" t="s">
        <v>3564</v>
      </c>
      <c r="H497" s="579" t="s">
        <v>437</v>
      </c>
      <c r="I497" s="578">
        <v>3068</v>
      </c>
      <c r="J497" s="578">
        <v>56.7535</v>
      </c>
      <c r="K497" s="582">
        <f t="shared" si="48"/>
        <v>54.05834001427225</v>
      </c>
      <c r="L497" s="578">
        <v>36</v>
      </c>
      <c r="M497" s="580">
        <f t="shared" si="55"/>
        <v>85.22222222222223</v>
      </c>
      <c r="N497" s="344">
        <f ca="1" t="shared" si="56"/>
        <v>4</v>
      </c>
      <c r="O497" s="348">
        <f t="shared" si="57"/>
        <v>340.8888888888889</v>
      </c>
      <c r="P497" s="579" t="s">
        <v>2002</v>
      </c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</row>
    <row r="498" spans="2:47" s="37" customFormat="1" ht="75" customHeight="1">
      <c r="B498" s="564">
        <v>44448</v>
      </c>
      <c r="C498" s="578" t="s">
        <v>3908</v>
      </c>
      <c r="D498" s="341" t="s">
        <v>3929</v>
      </c>
      <c r="E498" s="578" t="s">
        <v>3968</v>
      </c>
      <c r="F498" s="579" t="s">
        <v>3966</v>
      </c>
      <c r="G498" s="579" t="s">
        <v>3564</v>
      </c>
      <c r="H498" s="579" t="s">
        <v>437</v>
      </c>
      <c r="I498" s="578">
        <v>3068</v>
      </c>
      <c r="J498" s="578">
        <v>56.7535</v>
      </c>
      <c r="K498" s="582">
        <f t="shared" si="48"/>
        <v>54.05834001427225</v>
      </c>
      <c r="L498" s="578">
        <v>36</v>
      </c>
      <c r="M498" s="580">
        <f t="shared" si="55"/>
        <v>85.22222222222223</v>
      </c>
      <c r="N498" s="344">
        <f ca="1" t="shared" si="56"/>
        <v>4</v>
      </c>
      <c r="O498" s="348">
        <f t="shared" si="57"/>
        <v>340.8888888888889</v>
      </c>
      <c r="P498" s="579" t="s">
        <v>2002</v>
      </c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</row>
    <row r="499" spans="2:47" s="37" customFormat="1" ht="75" customHeight="1">
      <c r="B499" s="564">
        <v>44448</v>
      </c>
      <c r="C499" s="578" t="s">
        <v>3908</v>
      </c>
      <c r="D499" s="341" t="s">
        <v>3930</v>
      </c>
      <c r="E499" s="578" t="s">
        <v>3968</v>
      </c>
      <c r="F499" s="579" t="s">
        <v>3966</v>
      </c>
      <c r="G499" s="579" t="s">
        <v>3564</v>
      </c>
      <c r="H499" s="579" t="s">
        <v>437</v>
      </c>
      <c r="I499" s="578">
        <v>3068</v>
      </c>
      <c r="J499" s="578">
        <v>56.7535</v>
      </c>
      <c r="K499" s="582">
        <f t="shared" si="48"/>
        <v>54.05834001427225</v>
      </c>
      <c r="L499" s="578">
        <v>36</v>
      </c>
      <c r="M499" s="580">
        <f t="shared" si="55"/>
        <v>85.22222222222223</v>
      </c>
      <c r="N499" s="344">
        <f ca="1" t="shared" si="56"/>
        <v>4</v>
      </c>
      <c r="O499" s="348">
        <f t="shared" si="57"/>
        <v>340.8888888888889</v>
      </c>
      <c r="P499" s="579" t="s">
        <v>2002</v>
      </c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</row>
    <row r="500" spans="2:47" s="37" customFormat="1" ht="43.5" customHeight="1">
      <c r="B500" s="564">
        <v>44448</v>
      </c>
      <c r="C500" s="578" t="s">
        <v>3908</v>
      </c>
      <c r="D500" s="341" t="s">
        <v>3931</v>
      </c>
      <c r="E500" s="578" t="s">
        <v>3969</v>
      </c>
      <c r="F500" s="579" t="s">
        <v>63</v>
      </c>
      <c r="G500" s="579" t="s">
        <v>3564</v>
      </c>
      <c r="H500" s="579" t="s">
        <v>437</v>
      </c>
      <c r="I500" s="578">
        <v>29771.34</v>
      </c>
      <c r="J500" s="578">
        <v>56.7535</v>
      </c>
      <c r="K500" s="582">
        <f t="shared" si="48"/>
        <v>524.5727576272828</v>
      </c>
      <c r="L500" s="578">
        <v>36</v>
      </c>
      <c r="M500" s="580">
        <f t="shared" si="55"/>
        <v>826.9816666666667</v>
      </c>
      <c r="N500" s="344">
        <f ca="1" t="shared" si="56"/>
        <v>4</v>
      </c>
      <c r="O500" s="348">
        <f t="shared" si="57"/>
        <v>3307.9266666666667</v>
      </c>
      <c r="P500" s="579" t="s">
        <v>2002</v>
      </c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</row>
    <row r="501" spans="2:47" s="37" customFormat="1" ht="58.5" customHeight="1">
      <c r="B501" s="564">
        <v>44448</v>
      </c>
      <c r="C501" s="578" t="s">
        <v>3908</v>
      </c>
      <c r="D501" s="341" t="s">
        <v>3932</v>
      </c>
      <c r="E501" s="578" t="s">
        <v>3970</v>
      </c>
      <c r="F501" s="579" t="s">
        <v>63</v>
      </c>
      <c r="G501" s="579" t="s">
        <v>3564</v>
      </c>
      <c r="H501" s="579" t="s">
        <v>437</v>
      </c>
      <c r="I501" s="578">
        <v>1800</v>
      </c>
      <c r="J501" s="578">
        <v>56.7535</v>
      </c>
      <c r="K501" s="582">
        <f t="shared" si="48"/>
        <v>31.716105614631694</v>
      </c>
      <c r="L501" s="578">
        <v>36</v>
      </c>
      <c r="M501" s="580">
        <f t="shared" si="55"/>
        <v>50</v>
      </c>
      <c r="N501" s="344">
        <f ca="1" t="shared" si="56"/>
        <v>4</v>
      </c>
      <c r="O501" s="348">
        <f t="shared" si="57"/>
        <v>200</v>
      </c>
      <c r="P501" s="579" t="s">
        <v>2002</v>
      </c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</row>
    <row r="502" spans="2:47" s="37" customFormat="1" ht="46.5" customHeight="1">
      <c r="B502" s="564">
        <v>44448</v>
      </c>
      <c r="C502" s="578" t="s">
        <v>3908</v>
      </c>
      <c r="D502" s="341" t="s">
        <v>3933</v>
      </c>
      <c r="E502" s="578" t="s">
        <v>3971</v>
      </c>
      <c r="F502" s="579" t="s">
        <v>3974</v>
      </c>
      <c r="G502" s="579" t="s">
        <v>3564</v>
      </c>
      <c r="H502" s="579" t="s">
        <v>437</v>
      </c>
      <c r="I502" s="578">
        <v>3921</v>
      </c>
      <c r="J502" s="578">
        <v>56.7535</v>
      </c>
      <c r="K502" s="582">
        <f t="shared" si="48"/>
        <v>69.0882500638727</v>
      </c>
      <c r="L502" s="578">
        <v>36</v>
      </c>
      <c r="M502" s="580">
        <f t="shared" si="55"/>
        <v>108.91666666666667</v>
      </c>
      <c r="N502" s="344">
        <f ca="1" t="shared" si="56"/>
        <v>4</v>
      </c>
      <c r="O502" s="348">
        <f t="shared" si="57"/>
        <v>435.6666666666667</v>
      </c>
      <c r="P502" s="579" t="s">
        <v>2002</v>
      </c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</row>
    <row r="503" spans="2:47" s="37" customFormat="1" ht="55.5" customHeight="1">
      <c r="B503" s="564">
        <v>44448</v>
      </c>
      <c r="C503" s="578" t="s">
        <v>3908</v>
      </c>
      <c r="D503" s="341" t="s">
        <v>3934</v>
      </c>
      <c r="E503" s="578" t="s">
        <v>3973</v>
      </c>
      <c r="F503" s="660">
        <v>5567</v>
      </c>
      <c r="G503" s="579" t="s">
        <v>3564</v>
      </c>
      <c r="H503" s="579" t="s">
        <v>437</v>
      </c>
      <c r="I503" s="578">
        <v>4437</v>
      </c>
      <c r="J503" s="578">
        <v>56.7535</v>
      </c>
      <c r="K503" s="582">
        <f t="shared" si="48"/>
        <v>78.18020034006713</v>
      </c>
      <c r="L503" s="578">
        <v>36</v>
      </c>
      <c r="M503" s="580">
        <f t="shared" si="55"/>
        <v>123.25</v>
      </c>
      <c r="N503" s="344">
        <f ca="1" t="shared" si="56"/>
        <v>4</v>
      </c>
      <c r="O503" s="348">
        <f t="shared" si="57"/>
        <v>493</v>
      </c>
      <c r="P503" s="579" t="s">
        <v>2002</v>
      </c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</row>
    <row r="504" spans="2:47" s="37" customFormat="1" ht="48.75" customHeight="1">
      <c r="B504" s="564">
        <v>44448</v>
      </c>
      <c r="C504" s="578" t="s">
        <v>3908</v>
      </c>
      <c r="D504" s="341" t="s">
        <v>3935</v>
      </c>
      <c r="E504" s="578" t="s">
        <v>3973</v>
      </c>
      <c r="F504" s="660">
        <v>5567</v>
      </c>
      <c r="G504" s="579" t="s">
        <v>3564</v>
      </c>
      <c r="H504" s="579" t="s">
        <v>437</v>
      </c>
      <c r="I504" s="578">
        <v>4437</v>
      </c>
      <c r="J504" s="578">
        <v>56.7535</v>
      </c>
      <c r="K504" s="582">
        <f t="shared" si="48"/>
        <v>78.18020034006713</v>
      </c>
      <c r="L504" s="578">
        <v>36</v>
      </c>
      <c r="M504" s="580">
        <f t="shared" si="55"/>
        <v>123.25</v>
      </c>
      <c r="N504" s="344">
        <f ca="1" t="shared" si="56"/>
        <v>4</v>
      </c>
      <c r="O504" s="348">
        <f t="shared" si="57"/>
        <v>493</v>
      </c>
      <c r="P504" s="579" t="s">
        <v>2002</v>
      </c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</row>
    <row r="505" spans="2:47" s="37" customFormat="1" ht="48" customHeight="1">
      <c r="B505" s="564">
        <v>44448</v>
      </c>
      <c r="C505" s="578" t="s">
        <v>3908</v>
      </c>
      <c r="D505" s="341" t="s">
        <v>3936</v>
      </c>
      <c r="E505" s="578" t="s">
        <v>3972</v>
      </c>
      <c r="F505" s="660">
        <v>5480</v>
      </c>
      <c r="G505" s="579" t="s">
        <v>3564</v>
      </c>
      <c r="H505" s="579" t="s">
        <v>437</v>
      </c>
      <c r="I505" s="578">
        <v>5468</v>
      </c>
      <c r="J505" s="578">
        <v>56.7535</v>
      </c>
      <c r="K505" s="582">
        <f t="shared" si="48"/>
        <v>96.34648083378117</v>
      </c>
      <c r="L505" s="578">
        <v>36</v>
      </c>
      <c r="M505" s="580">
        <f t="shared" si="55"/>
        <v>151.88888888888889</v>
      </c>
      <c r="N505" s="344">
        <f ca="1" t="shared" si="56"/>
        <v>4</v>
      </c>
      <c r="O505" s="348">
        <f t="shared" si="57"/>
        <v>607.5555555555555</v>
      </c>
      <c r="P505" s="579" t="s">
        <v>2002</v>
      </c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</row>
    <row r="506" spans="2:47" s="37" customFormat="1" ht="52.5" customHeight="1">
      <c r="B506" s="564">
        <v>44448</v>
      </c>
      <c r="C506" s="578" t="s">
        <v>3908</v>
      </c>
      <c r="D506" s="341" t="s">
        <v>3937</v>
      </c>
      <c r="E506" s="578" t="s">
        <v>3975</v>
      </c>
      <c r="F506" s="660" t="s">
        <v>3976</v>
      </c>
      <c r="G506" s="579" t="s">
        <v>3564</v>
      </c>
      <c r="H506" s="579" t="s">
        <v>437</v>
      </c>
      <c r="I506" s="578">
        <v>3958.99</v>
      </c>
      <c r="J506" s="578">
        <v>56.7535</v>
      </c>
      <c r="K506" s="582">
        <f t="shared" si="48"/>
        <v>69.75763609292818</v>
      </c>
      <c r="L506" s="578">
        <v>36</v>
      </c>
      <c r="M506" s="580">
        <f t="shared" si="55"/>
        <v>109.97194444444443</v>
      </c>
      <c r="N506" s="344">
        <f ca="1" t="shared" si="56"/>
        <v>4</v>
      </c>
      <c r="O506" s="348">
        <f t="shared" si="57"/>
        <v>439.8877777777777</v>
      </c>
      <c r="P506" s="579" t="s">
        <v>2002</v>
      </c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</row>
    <row r="507" spans="2:47" s="37" customFormat="1" ht="59.25" customHeight="1">
      <c r="B507" s="564">
        <v>44448</v>
      </c>
      <c r="C507" s="578" t="s">
        <v>3908</v>
      </c>
      <c r="D507" s="341" t="s">
        <v>3938</v>
      </c>
      <c r="E507" s="578" t="s">
        <v>3975</v>
      </c>
      <c r="F507" s="660" t="s">
        <v>3976</v>
      </c>
      <c r="G507" s="579" t="s">
        <v>3564</v>
      </c>
      <c r="H507" s="579" t="s">
        <v>437</v>
      </c>
      <c r="I507" s="578">
        <v>3958.99</v>
      </c>
      <c r="J507" s="578">
        <v>56.7535</v>
      </c>
      <c r="K507" s="582">
        <f t="shared" si="48"/>
        <v>69.75763609292818</v>
      </c>
      <c r="L507" s="578">
        <v>36</v>
      </c>
      <c r="M507" s="580">
        <f t="shared" si="55"/>
        <v>109.97194444444443</v>
      </c>
      <c r="N507" s="344">
        <f ca="1" t="shared" si="56"/>
        <v>4</v>
      </c>
      <c r="O507" s="348">
        <f t="shared" si="57"/>
        <v>439.8877777777777</v>
      </c>
      <c r="P507" s="579" t="s">
        <v>2002</v>
      </c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</row>
    <row r="508" spans="2:47" s="37" customFormat="1" ht="60.75" customHeight="1">
      <c r="B508" s="564">
        <v>44448</v>
      </c>
      <c r="C508" s="578" t="s">
        <v>3908</v>
      </c>
      <c r="D508" s="341" t="s">
        <v>3939</v>
      </c>
      <c r="E508" s="578" t="s">
        <v>3975</v>
      </c>
      <c r="F508" s="660" t="s">
        <v>3976</v>
      </c>
      <c r="G508" s="579" t="s">
        <v>3564</v>
      </c>
      <c r="H508" s="579" t="s">
        <v>437</v>
      </c>
      <c r="I508" s="578">
        <v>3958.99</v>
      </c>
      <c r="J508" s="578">
        <v>56.7535</v>
      </c>
      <c r="K508" s="582">
        <f t="shared" si="48"/>
        <v>69.75763609292818</v>
      </c>
      <c r="L508" s="578">
        <v>36</v>
      </c>
      <c r="M508" s="580">
        <f t="shared" si="55"/>
        <v>109.97194444444443</v>
      </c>
      <c r="N508" s="344">
        <f ca="1" t="shared" si="56"/>
        <v>4</v>
      </c>
      <c r="O508" s="348">
        <f t="shared" si="57"/>
        <v>439.8877777777777</v>
      </c>
      <c r="P508" s="579" t="s">
        <v>2002</v>
      </c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</row>
    <row r="509" spans="2:47" s="37" customFormat="1" ht="60.75" customHeight="1">
      <c r="B509" s="564">
        <v>44448</v>
      </c>
      <c r="C509" s="578" t="s">
        <v>3908</v>
      </c>
      <c r="D509" s="341" t="s">
        <v>3940</v>
      </c>
      <c r="E509" s="578" t="s">
        <v>3975</v>
      </c>
      <c r="F509" s="660" t="s">
        <v>3976</v>
      </c>
      <c r="G509" s="579" t="s">
        <v>3564</v>
      </c>
      <c r="H509" s="579" t="s">
        <v>437</v>
      </c>
      <c r="I509" s="578">
        <v>3958.99</v>
      </c>
      <c r="J509" s="578">
        <v>56.7535</v>
      </c>
      <c r="K509" s="582">
        <f t="shared" si="48"/>
        <v>69.75763609292818</v>
      </c>
      <c r="L509" s="578">
        <v>36</v>
      </c>
      <c r="M509" s="580">
        <f t="shared" si="55"/>
        <v>109.97194444444443</v>
      </c>
      <c r="N509" s="344">
        <f ca="1" t="shared" si="56"/>
        <v>4</v>
      </c>
      <c r="O509" s="348">
        <f t="shared" si="57"/>
        <v>439.8877777777777</v>
      </c>
      <c r="P509" s="579" t="s">
        <v>2002</v>
      </c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</row>
    <row r="510" spans="2:47" s="37" customFormat="1" ht="50.25" customHeight="1">
      <c r="B510" s="564">
        <v>44448</v>
      </c>
      <c r="C510" s="578" t="s">
        <v>3908</v>
      </c>
      <c r="D510" s="341" t="s">
        <v>3941</v>
      </c>
      <c r="E510" s="578" t="s">
        <v>3975</v>
      </c>
      <c r="F510" s="660" t="s">
        <v>3976</v>
      </c>
      <c r="G510" s="579" t="s">
        <v>3564</v>
      </c>
      <c r="H510" s="579" t="s">
        <v>437</v>
      </c>
      <c r="I510" s="578">
        <v>3958.99</v>
      </c>
      <c r="J510" s="578">
        <v>56.7535</v>
      </c>
      <c r="K510" s="582">
        <f t="shared" si="48"/>
        <v>69.75763609292818</v>
      </c>
      <c r="L510" s="578">
        <v>36</v>
      </c>
      <c r="M510" s="580">
        <f t="shared" si="55"/>
        <v>109.97194444444443</v>
      </c>
      <c r="N510" s="344">
        <f ca="1" t="shared" si="56"/>
        <v>4</v>
      </c>
      <c r="O510" s="348">
        <f t="shared" si="57"/>
        <v>439.8877777777777</v>
      </c>
      <c r="P510" s="579" t="s">
        <v>2002</v>
      </c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</row>
    <row r="511" spans="2:47" s="37" customFormat="1" ht="55.5" customHeight="1">
      <c r="B511" s="564">
        <v>44448</v>
      </c>
      <c r="C511" s="578" t="s">
        <v>3908</v>
      </c>
      <c r="D511" s="341" t="s">
        <v>3942</v>
      </c>
      <c r="E511" s="578" t="s">
        <v>3975</v>
      </c>
      <c r="F511" s="660" t="s">
        <v>3976</v>
      </c>
      <c r="G511" s="579" t="s">
        <v>3564</v>
      </c>
      <c r="H511" s="579" t="s">
        <v>437</v>
      </c>
      <c r="I511" s="578">
        <v>3958.99</v>
      </c>
      <c r="J511" s="578">
        <v>56.7535</v>
      </c>
      <c r="K511" s="582">
        <f t="shared" si="48"/>
        <v>69.75763609292818</v>
      </c>
      <c r="L511" s="578">
        <v>36</v>
      </c>
      <c r="M511" s="580">
        <f t="shared" si="55"/>
        <v>109.97194444444443</v>
      </c>
      <c r="N511" s="344">
        <f ca="1" t="shared" si="56"/>
        <v>4</v>
      </c>
      <c r="O511" s="348">
        <f t="shared" si="57"/>
        <v>439.8877777777777</v>
      </c>
      <c r="P511" s="579" t="s">
        <v>2002</v>
      </c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</row>
    <row r="512" spans="2:47" s="37" customFormat="1" ht="36" customHeight="1">
      <c r="B512" s="564">
        <v>44448</v>
      </c>
      <c r="C512" s="578" t="s">
        <v>3908</v>
      </c>
      <c r="D512" s="341" t="s">
        <v>3943</v>
      </c>
      <c r="E512" s="578" t="s">
        <v>3977</v>
      </c>
      <c r="F512" s="660" t="s">
        <v>3978</v>
      </c>
      <c r="G512" s="579" t="s">
        <v>3564</v>
      </c>
      <c r="H512" s="579" t="s">
        <v>437</v>
      </c>
      <c r="I512" s="578">
        <v>986.87</v>
      </c>
      <c r="J512" s="578">
        <v>56.7535</v>
      </c>
      <c r="K512" s="582">
        <f t="shared" si="48"/>
        <v>17.38870730439532</v>
      </c>
      <c r="L512" s="578">
        <v>36</v>
      </c>
      <c r="M512" s="580">
        <f t="shared" si="55"/>
        <v>27.413055555555555</v>
      </c>
      <c r="N512" s="344">
        <f ca="1" t="shared" si="56"/>
        <v>4</v>
      </c>
      <c r="O512" s="348">
        <f t="shared" si="57"/>
        <v>109.65222222222222</v>
      </c>
      <c r="P512" s="579" t="s">
        <v>2002</v>
      </c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</row>
    <row r="513" spans="2:47" s="37" customFormat="1" ht="36" customHeight="1">
      <c r="B513" s="564">
        <v>44448</v>
      </c>
      <c r="C513" s="578" t="s">
        <v>3908</v>
      </c>
      <c r="D513" s="341" t="s">
        <v>3944</v>
      </c>
      <c r="E513" s="578" t="s">
        <v>3977</v>
      </c>
      <c r="F513" s="660" t="s">
        <v>3978</v>
      </c>
      <c r="G513" s="579" t="s">
        <v>3564</v>
      </c>
      <c r="H513" s="579" t="s">
        <v>437</v>
      </c>
      <c r="I513" s="578">
        <v>986.87</v>
      </c>
      <c r="J513" s="578">
        <v>56.7535</v>
      </c>
      <c r="K513" s="582">
        <f t="shared" si="48"/>
        <v>17.38870730439532</v>
      </c>
      <c r="L513" s="578">
        <v>36</v>
      </c>
      <c r="M513" s="580">
        <f t="shared" si="55"/>
        <v>27.413055555555555</v>
      </c>
      <c r="N513" s="344">
        <f ca="1" t="shared" si="56"/>
        <v>4</v>
      </c>
      <c r="O513" s="348">
        <f t="shared" si="57"/>
        <v>109.65222222222222</v>
      </c>
      <c r="P513" s="579" t="s">
        <v>2002</v>
      </c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</row>
    <row r="514" spans="2:47" s="37" customFormat="1" ht="36" customHeight="1">
      <c r="B514" s="564">
        <v>44448</v>
      </c>
      <c r="C514" s="578" t="s">
        <v>3908</v>
      </c>
      <c r="D514" s="341" t="s">
        <v>3945</v>
      </c>
      <c r="E514" s="578" t="s">
        <v>3977</v>
      </c>
      <c r="F514" s="660" t="s">
        <v>3978</v>
      </c>
      <c r="G514" s="579" t="s">
        <v>3564</v>
      </c>
      <c r="H514" s="579" t="s">
        <v>437</v>
      </c>
      <c r="I514" s="578">
        <v>986.87</v>
      </c>
      <c r="J514" s="578">
        <v>56.7535</v>
      </c>
      <c r="K514" s="582">
        <f t="shared" si="48"/>
        <v>17.38870730439532</v>
      </c>
      <c r="L514" s="578">
        <v>36</v>
      </c>
      <c r="M514" s="580">
        <f t="shared" si="55"/>
        <v>27.413055555555555</v>
      </c>
      <c r="N514" s="344">
        <f ca="1" t="shared" si="56"/>
        <v>4</v>
      </c>
      <c r="O514" s="348">
        <f t="shared" si="57"/>
        <v>109.65222222222222</v>
      </c>
      <c r="P514" s="579" t="s">
        <v>2002</v>
      </c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</row>
    <row r="515" spans="2:47" s="37" customFormat="1" ht="36" customHeight="1">
      <c r="B515" s="564">
        <v>44448</v>
      </c>
      <c r="C515" s="578" t="s">
        <v>3908</v>
      </c>
      <c r="D515" s="341" t="s">
        <v>3946</v>
      </c>
      <c r="E515" s="578" t="s">
        <v>3977</v>
      </c>
      <c r="F515" s="660" t="s">
        <v>3978</v>
      </c>
      <c r="G515" s="579" t="s">
        <v>3564</v>
      </c>
      <c r="H515" s="579" t="s">
        <v>437</v>
      </c>
      <c r="I515" s="578">
        <v>986.87</v>
      </c>
      <c r="J515" s="578">
        <v>56.7535</v>
      </c>
      <c r="K515" s="582">
        <f t="shared" si="48"/>
        <v>17.38870730439532</v>
      </c>
      <c r="L515" s="578">
        <v>36</v>
      </c>
      <c r="M515" s="580">
        <f t="shared" si="55"/>
        <v>27.413055555555555</v>
      </c>
      <c r="N515" s="344">
        <f ca="1" t="shared" si="56"/>
        <v>4</v>
      </c>
      <c r="O515" s="348">
        <f t="shared" si="57"/>
        <v>109.65222222222222</v>
      </c>
      <c r="P515" s="579" t="s">
        <v>2002</v>
      </c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</row>
    <row r="516" spans="2:47" s="37" customFormat="1" ht="36" customHeight="1">
      <c r="B516" s="564">
        <v>44448</v>
      </c>
      <c r="C516" s="578" t="s">
        <v>3908</v>
      </c>
      <c r="D516" s="341" t="s">
        <v>3947</v>
      </c>
      <c r="E516" s="578" t="s">
        <v>3977</v>
      </c>
      <c r="F516" s="660" t="s">
        <v>3978</v>
      </c>
      <c r="G516" s="579" t="s">
        <v>3564</v>
      </c>
      <c r="H516" s="579" t="s">
        <v>437</v>
      </c>
      <c r="I516" s="578">
        <v>986.87</v>
      </c>
      <c r="J516" s="578">
        <v>56.7535</v>
      </c>
      <c r="K516" s="582">
        <f t="shared" si="48"/>
        <v>17.38870730439532</v>
      </c>
      <c r="L516" s="578">
        <v>36</v>
      </c>
      <c r="M516" s="580">
        <f t="shared" si="55"/>
        <v>27.413055555555555</v>
      </c>
      <c r="N516" s="344">
        <f ca="1" t="shared" si="56"/>
        <v>4</v>
      </c>
      <c r="O516" s="348">
        <f t="shared" si="57"/>
        <v>109.65222222222222</v>
      </c>
      <c r="P516" s="579" t="s">
        <v>2002</v>
      </c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</row>
    <row r="517" spans="2:47" s="37" customFormat="1" ht="36" customHeight="1">
      <c r="B517" s="564">
        <v>44448</v>
      </c>
      <c r="C517" s="578" t="s">
        <v>3908</v>
      </c>
      <c r="D517" s="341" t="s">
        <v>3948</v>
      </c>
      <c r="E517" s="578" t="s">
        <v>3977</v>
      </c>
      <c r="F517" s="660" t="s">
        <v>3978</v>
      </c>
      <c r="G517" s="579" t="s">
        <v>3564</v>
      </c>
      <c r="H517" s="579" t="s">
        <v>437</v>
      </c>
      <c r="I517" s="578">
        <v>986.87</v>
      </c>
      <c r="J517" s="578">
        <v>56.7535</v>
      </c>
      <c r="K517" s="582">
        <f t="shared" si="48"/>
        <v>17.38870730439532</v>
      </c>
      <c r="L517" s="578">
        <v>36</v>
      </c>
      <c r="M517" s="580">
        <f t="shared" si="55"/>
        <v>27.413055555555555</v>
      </c>
      <c r="N517" s="344">
        <f ca="1" t="shared" si="56"/>
        <v>4</v>
      </c>
      <c r="O517" s="348">
        <f t="shared" si="57"/>
        <v>109.65222222222222</v>
      </c>
      <c r="P517" s="579" t="s">
        <v>2002</v>
      </c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</row>
    <row r="518" spans="2:47" s="37" customFormat="1" ht="36" customHeight="1">
      <c r="B518" s="564">
        <v>44448</v>
      </c>
      <c r="C518" s="578" t="s">
        <v>3908</v>
      </c>
      <c r="D518" s="341" t="s">
        <v>3949</v>
      </c>
      <c r="E518" s="578" t="s">
        <v>3977</v>
      </c>
      <c r="F518" s="660" t="s">
        <v>3979</v>
      </c>
      <c r="G518" s="579" t="s">
        <v>3564</v>
      </c>
      <c r="H518" s="579" t="s">
        <v>437</v>
      </c>
      <c r="I518" s="578">
        <v>986.87</v>
      </c>
      <c r="J518" s="578">
        <v>56.7535</v>
      </c>
      <c r="K518" s="582">
        <f t="shared" si="48"/>
        <v>17.38870730439532</v>
      </c>
      <c r="L518" s="578">
        <v>36</v>
      </c>
      <c r="M518" s="580">
        <f t="shared" si="55"/>
        <v>27.413055555555555</v>
      </c>
      <c r="N518" s="344">
        <f ca="1" t="shared" si="56"/>
        <v>4</v>
      </c>
      <c r="O518" s="348">
        <f t="shared" si="57"/>
        <v>109.65222222222222</v>
      </c>
      <c r="P518" s="579" t="s">
        <v>2002</v>
      </c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</row>
    <row r="519" spans="2:47" s="37" customFormat="1" ht="36" customHeight="1">
      <c r="B519" s="564">
        <v>44448</v>
      </c>
      <c r="C519" s="578" t="s">
        <v>3908</v>
      </c>
      <c r="D519" s="341" t="s">
        <v>3950</v>
      </c>
      <c r="E519" s="578" t="s">
        <v>3977</v>
      </c>
      <c r="F519" s="660" t="s">
        <v>3980</v>
      </c>
      <c r="G519" s="579" t="s">
        <v>3564</v>
      </c>
      <c r="H519" s="579" t="s">
        <v>437</v>
      </c>
      <c r="I519" s="578">
        <v>986.87</v>
      </c>
      <c r="J519" s="578">
        <v>56.7535</v>
      </c>
      <c r="K519" s="582">
        <f t="shared" si="48"/>
        <v>17.38870730439532</v>
      </c>
      <c r="L519" s="578">
        <v>36</v>
      </c>
      <c r="M519" s="580">
        <f t="shared" si="55"/>
        <v>27.413055555555555</v>
      </c>
      <c r="N519" s="344">
        <f ca="1" t="shared" si="56"/>
        <v>4</v>
      </c>
      <c r="O519" s="348">
        <f t="shared" si="57"/>
        <v>109.65222222222222</v>
      </c>
      <c r="P519" s="579" t="s">
        <v>2002</v>
      </c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</row>
    <row r="520" spans="2:47" s="37" customFormat="1" ht="36" customHeight="1">
      <c r="B520" s="564">
        <v>44448</v>
      </c>
      <c r="C520" s="578" t="s">
        <v>3908</v>
      </c>
      <c r="D520" s="341" t="s">
        <v>3951</v>
      </c>
      <c r="E520" s="578" t="s">
        <v>3977</v>
      </c>
      <c r="F520" s="660" t="s">
        <v>3981</v>
      </c>
      <c r="G520" s="579" t="s">
        <v>3564</v>
      </c>
      <c r="H520" s="579" t="s">
        <v>437</v>
      </c>
      <c r="I520" s="578">
        <v>986.87</v>
      </c>
      <c r="J520" s="578">
        <v>56.7535</v>
      </c>
      <c r="K520" s="582">
        <f t="shared" si="48"/>
        <v>17.38870730439532</v>
      </c>
      <c r="L520" s="578">
        <v>36</v>
      </c>
      <c r="M520" s="580">
        <f t="shared" si="55"/>
        <v>27.413055555555555</v>
      </c>
      <c r="N520" s="344">
        <f ca="1" t="shared" si="56"/>
        <v>4</v>
      </c>
      <c r="O520" s="348">
        <f t="shared" si="57"/>
        <v>109.65222222222222</v>
      </c>
      <c r="P520" s="579" t="s">
        <v>2002</v>
      </c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</row>
    <row r="521" spans="2:47" s="37" customFormat="1" ht="36" customHeight="1">
      <c r="B521" s="564">
        <v>44448</v>
      </c>
      <c r="C521" s="578" t="s">
        <v>3908</v>
      </c>
      <c r="D521" s="341" t="s">
        <v>3952</v>
      </c>
      <c r="E521" s="578" t="s">
        <v>3977</v>
      </c>
      <c r="F521" s="660" t="s">
        <v>3982</v>
      </c>
      <c r="G521" s="579" t="s">
        <v>3564</v>
      </c>
      <c r="H521" s="579" t="s">
        <v>437</v>
      </c>
      <c r="I521" s="578">
        <v>986.87</v>
      </c>
      <c r="J521" s="578">
        <v>56.7535</v>
      </c>
      <c r="K521" s="582">
        <f t="shared" si="48"/>
        <v>17.38870730439532</v>
      </c>
      <c r="L521" s="578">
        <v>36</v>
      </c>
      <c r="M521" s="580">
        <f t="shared" si="55"/>
        <v>27.413055555555555</v>
      </c>
      <c r="N521" s="344">
        <f ca="1" t="shared" si="56"/>
        <v>4</v>
      </c>
      <c r="O521" s="348">
        <f t="shared" si="57"/>
        <v>109.65222222222222</v>
      </c>
      <c r="P521" s="579" t="s">
        <v>2002</v>
      </c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</row>
    <row r="522" spans="2:47" s="37" customFormat="1" ht="39.75" customHeight="1">
      <c r="B522" s="564">
        <v>44448</v>
      </c>
      <c r="C522" s="578" t="s">
        <v>3908</v>
      </c>
      <c r="D522" s="341" t="s">
        <v>3953</v>
      </c>
      <c r="E522" s="578" t="s">
        <v>3983</v>
      </c>
      <c r="F522" s="579" t="s">
        <v>3984</v>
      </c>
      <c r="G522" s="579" t="s">
        <v>3564</v>
      </c>
      <c r="H522" s="579" t="s">
        <v>437</v>
      </c>
      <c r="I522" s="578">
        <v>4383</v>
      </c>
      <c r="J522" s="578">
        <v>56.7535</v>
      </c>
      <c r="K522" s="582">
        <f t="shared" si="48"/>
        <v>77.22871717162818</v>
      </c>
      <c r="L522" s="578">
        <v>36</v>
      </c>
      <c r="M522" s="580">
        <f t="shared" si="55"/>
        <v>121.75</v>
      </c>
      <c r="N522" s="344">
        <f ca="1" t="shared" si="56"/>
        <v>4</v>
      </c>
      <c r="O522" s="348">
        <f t="shared" si="57"/>
        <v>487</v>
      </c>
      <c r="P522" s="579" t="s">
        <v>2002</v>
      </c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</row>
    <row r="523" spans="2:47" s="37" customFormat="1" ht="39.75" customHeight="1">
      <c r="B523" s="564">
        <v>44448</v>
      </c>
      <c r="C523" s="578" t="s">
        <v>3908</v>
      </c>
      <c r="D523" s="341" t="s">
        <v>3954</v>
      </c>
      <c r="E523" s="578" t="s">
        <v>3983</v>
      </c>
      <c r="F523" s="579" t="s">
        <v>3984</v>
      </c>
      <c r="G523" s="579" t="s">
        <v>3564</v>
      </c>
      <c r="H523" s="579" t="s">
        <v>437</v>
      </c>
      <c r="I523" s="578">
        <v>4383</v>
      </c>
      <c r="J523" s="578">
        <v>56.7535</v>
      </c>
      <c r="K523" s="582">
        <f t="shared" si="48"/>
        <v>77.22871717162818</v>
      </c>
      <c r="L523" s="578">
        <v>36</v>
      </c>
      <c r="M523" s="580">
        <f t="shared" si="55"/>
        <v>121.75</v>
      </c>
      <c r="N523" s="344">
        <f ca="1" t="shared" si="56"/>
        <v>4</v>
      </c>
      <c r="O523" s="348">
        <f t="shared" si="57"/>
        <v>487</v>
      </c>
      <c r="P523" s="579" t="s">
        <v>2002</v>
      </c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</row>
    <row r="524" spans="2:47" s="37" customFormat="1" ht="39.75" customHeight="1">
      <c r="B524" s="564">
        <v>44448</v>
      </c>
      <c r="C524" s="578" t="s">
        <v>3908</v>
      </c>
      <c r="D524" s="341" t="s">
        <v>3955</v>
      </c>
      <c r="E524" s="578" t="s">
        <v>3983</v>
      </c>
      <c r="F524" s="579" t="s">
        <v>3984</v>
      </c>
      <c r="G524" s="579" t="s">
        <v>3564</v>
      </c>
      <c r="H524" s="579" t="s">
        <v>437</v>
      </c>
      <c r="I524" s="578">
        <v>4383</v>
      </c>
      <c r="J524" s="578">
        <v>56.7535</v>
      </c>
      <c r="K524" s="582">
        <f t="shared" si="48"/>
        <v>77.22871717162818</v>
      </c>
      <c r="L524" s="578">
        <v>36</v>
      </c>
      <c r="M524" s="580">
        <f t="shared" si="55"/>
        <v>121.75</v>
      </c>
      <c r="N524" s="344">
        <f ca="1" t="shared" si="56"/>
        <v>4</v>
      </c>
      <c r="O524" s="348">
        <f t="shared" si="57"/>
        <v>487</v>
      </c>
      <c r="P524" s="579" t="s">
        <v>2002</v>
      </c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</row>
    <row r="525" spans="2:47" s="37" customFormat="1" ht="39.75" customHeight="1">
      <c r="B525" s="564">
        <v>44448</v>
      </c>
      <c r="C525" s="578" t="s">
        <v>3908</v>
      </c>
      <c r="D525" s="341" t="s">
        <v>3956</v>
      </c>
      <c r="E525" s="578" t="s">
        <v>3983</v>
      </c>
      <c r="F525" s="579" t="s">
        <v>3984</v>
      </c>
      <c r="G525" s="579" t="s">
        <v>3564</v>
      </c>
      <c r="H525" s="579" t="s">
        <v>437</v>
      </c>
      <c r="I525" s="578">
        <v>4383</v>
      </c>
      <c r="J525" s="578">
        <v>56.7535</v>
      </c>
      <c r="K525" s="582">
        <f t="shared" si="48"/>
        <v>77.22871717162818</v>
      </c>
      <c r="L525" s="578">
        <v>36</v>
      </c>
      <c r="M525" s="580">
        <f t="shared" si="55"/>
        <v>121.75</v>
      </c>
      <c r="N525" s="344">
        <f ca="1" t="shared" si="56"/>
        <v>4</v>
      </c>
      <c r="O525" s="348">
        <f t="shared" si="57"/>
        <v>487</v>
      </c>
      <c r="P525" s="579" t="s">
        <v>2002</v>
      </c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</row>
    <row r="526" spans="2:47" s="37" customFormat="1" ht="39.75" customHeight="1">
      <c r="B526" s="564">
        <v>44448</v>
      </c>
      <c r="C526" s="578" t="s">
        <v>3908</v>
      </c>
      <c r="D526" s="341" t="s">
        <v>3957</v>
      </c>
      <c r="E526" s="578" t="s">
        <v>3983</v>
      </c>
      <c r="F526" s="579" t="s">
        <v>3984</v>
      </c>
      <c r="G526" s="579" t="s">
        <v>3564</v>
      </c>
      <c r="H526" s="579" t="s">
        <v>437</v>
      </c>
      <c r="I526" s="578">
        <v>4383</v>
      </c>
      <c r="J526" s="578">
        <v>56.7535</v>
      </c>
      <c r="K526" s="582">
        <f t="shared" si="48"/>
        <v>77.22871717162818</v>
      </c>
      <c r="L526" s="578">
        <v>36</v>
      </c>
      <c r="M526" s="580">
        <f t="shared" si="55"/>
        <v>121.75</v>
      </c>
      <c r="N526" s="344">
        <f ca="1" t="shared" si="56"/>
        <v>4</v>
      </c>
      <c r="O526" s="348">
        <f t="shared" si="57"/>
        <v>487</v>
      </c>
      <c r="P526" s="579" t="s">
        <v>2002</v>
      </c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</row>
    <row r="527" spans="2:47" s="37" customFormat="1" ht="39.75" customHeight="1">
      <c r="B527" s="564">
        <v>44448</v>
      </c>
      <c r="C527" s="578" t="s">
        <v>3908</v>
      </c>
      <c r="D527" s="341" t="s">
        <v>3958</v>
      </c>
      <c r="E527" s="578" t="s">
        <v>3983</v>
      </c>
      <c r="F527" s="579" t="s">
        <v>3984</v>
      </c>
      <c r="G527" s="579" t="s">
        <v>3564</v>
      </c>
      <c r="H527" s="579" t="s">
        <v>437</v>
      </c>
      <c r="I527" s="578">
        <v>4383</v>
      </c>
      <c r="J527" s="578">
        <v>56.7535</v>
      </c>
      <c r="K527" s="582">
        <f t="shared" si="48"/>
        <v>77.22871717162818</v>
      </c>
      <c r="L527" s="578">
        <v>36</v>
      </c>
      <c r="M527" s="580">
        <f t="shared" si="55"/>
        <v>121.75</v>
      </c>
      <c r="N527" s="344">
        <f ca="1" t="shared" si="56"/>
        <v>4</v>
      </c>
      <c r="O527" s="348">
        <f t="shared" si="57"/>
        <v>487</v>
      </c>
      <c r="P527" s="579" t="s">
        <v>2002</v>
      </c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</row>
    <row r="528" spans="2:47" s="37" customFormat="1" ht="39.75" customHeight="1">
      <c r="B528" s="564">
        <v>44448</v>
      </c>
      <c r="C528" s="578" t="s">
        <v>3908</v>
      </c>
      <c r="D528" s="341" t="s">
        <v>3959</v>
      </c>
      <c r="E528" s="578" t="s">
        <v>3983</v>
      </c>
      <c r="F528" s="579" t="s">
        <v>3984</v>
      </c>
      <c r="G528" s="579" t="s">
        <v>3564</v>
      </c>
      <c r="H528" s="579" t="s">
        <v>437</v>
      </c>
      <c r="I528" s="578">
        <v>4383</v>
      </c>
      <c r="J528" s="578">
        <v>56.7535</v>
      </c>
      <c r="K528" s="582">
        <f t="shared" si="48"/>
        <v>77.22871717162818</v>
      </c>
      <c r="L528" s="578">
        <v>36</v>
      </c>
      <c r="M528" s="580">
        <f t="shared" si="55"/>
        <v>121.75</v>
      </c>
      <c r="N528" s="344">
        <f ca="1" t="shared" si="56"/>
        <v>4</v>
      </c>
      <c r="O528" s="348">
        <f t="shared" si="57"/>
        <v>487</v>
      </c>
      <c r="P528" s="579" t="s">
        <v>2002</v>
      </c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</row>
    <row r="529" spans="2:47" s="37" customFormat="1" ht="39.75" customHeight="1">
      <c r="B529" s="564">
        <v>44448</v>
      </c>
      <c r="C529" s="578" t="s">
        <v>3908</v>
      </c>
      <c r="D529" s="341" t="s">
        <v>3960</v>
      </c>
      <c r="E529" s="578" t="s">
        <v>3983</v>
      </c>
      <c r="F529" s="579" t="s">
        <v>3984</v>
      </c>
      <c r="G529" s="579" t="s">
        <v>3564</v>
      </c>
      <c r="H529" s="579" t="s">
        <v>437</v>
      </c>
      <c r="I529" s="578">
        <v>4383</v>
      </c>
      <c r="J529" s="578">
        <v>56.7535</v>
      </c>
      <c r="K529" s="582">
        <f t="shared" si="48"/>
        <v>77.22871717162818</v>
      </c>
      <c r="L529" s="578">
        <v>36</v>
      </c>
      <c r="M529" s="580">
        <f t="shared" si="55"/>
        <v>121.75</v>
      </c>
      <c r="N529" s="344">
        <f ca="1" t="shared" si="56"/>
        <v>4</v>
      </c>
      <c r="O529" s="348">
        <f t="shared" si="57"/>
        <v>487</v>
      </c>
      <c r="P529" s="579" t="s">
        <v>2002</v>
      </c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</row>
    <row r="530" spans="2:47" s="37" customFormat="1" ht="39.75" customHeight="1">
      <c r="B530" s="564">
        <v>44448</v>
      </c>
      <c r="C530" s="578" t="s">
        <v>3908</v>
      </c>
      <c r="D530" s="341" t="s">
        <v>3961</v>
      </c>
      <c r="E530" s="578" t="s">
        <v>3983</v>
      </c>
      <c r="F530" s="579" t="s">
        <v>3984</v>
      </c>
      <c r="G530" s="579" t="s">
        <v>3564</v>
      </c>
      <c r="H530" s="579" t="s">
        <v>437</v>
      </c>
      <c r="I530" s="578">
        <v>4383</v>
      </c>
      <c r="J530" s="578">
        <v>56.7535</v>
      </c>
      <c r="K530" s="582">
        <f t="shared" si="48"/>
        <v>77.22871717162818</v>
      </c>
      <c r="L530" s="578">
        <v>36</v>
      </c>
      <c r="M530" s="580">
        <f t="shared" si="55"/>
        <v>121.75</v>
      </c>
      <c r="N530" s="344">
        <f ca="1" t="shared" si="56"/>
        <v>4</v>
      </c>
      <c r="O530" s="348">
        <f t="shared" si="57"/>
        <v>487</v>
      </c>
      <c r="P530" s="579" t="s">
        <v>2002</v>
      </c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</row>
    <row r="531" spans="2:47" s="37" customFormat="1" ht="39.75" customHeight="1">
      <c r="B531" s="564">
        <v>44448</v>
      </c>
      <c r="C531" s="578" t="s">
        <v>3908</v>
      </c>
      <c r="D531" s="341" t="s">
        <v>3962</v>
      </c>
      <c r="E531" s="578" t="s">
        <v>3983</v>
      </c>
      <c r="F531" s="579" t="s">
        <v>3984</v>
      </c>
      <c r="G531" s="579" t="s">
        <v>3564</v>
      </c>
      <c r="H531" s="579" t="s">
        <v>437</v>
      </c>
      <c r="I531" s="578">
        <v>4383</v>
      </c>
      <c r="J531" s="578">
        <v>56.7535</v>
      </c>
      <c r="K531" s="582">
        <f t="shared" si="48"/>
        <v>77.22871717162818</v>
      </c>
      <c r="L531" s="578">
        <v>36</v>
      </c>
      <c r="M531" s="580">
        <f t="shared" si="55"/>
        <v>121.75</v>
      </c>
      <c r="N531" s="344">
        <f ca="1" t="shared" si="56"/>
        <v>4</v>
      </c>
      <c r="O531" s="348">
        <f t="shared" si="57"/>
        <v>487</v>
      </c>
      <c r="P531" s="579" t="s">
        <v>2002</v>
      </c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</row>
    <row r="532" spans="2:47" s="37" customFormat="1" ht="51.75" customHeight="1">
      <c r="B532" s="564">
        <v>44452</v>
      </c>
      <c r="C532" s="578" t="s">
        <v>3765</v>
      </c>
      <c r="D532" s="341" t="s">
        <v>3786</v>
      </c>
      <c r="E532" s="578" t="s">
        <v>3816</v>
      </c>
      <c r="F532" s="579" t="s">
        <v>42</v>
      </c>
      <c r="G532" s="579" t="s">
        <v>3763</v>
      </c>
      <c r="H532" s="579" t="s">
        <v>437</v>
      </c>
      <c r="I532" s="578">
        <v>30196.2</v>
      </c>
      <c r="J532" s="578">
        <v>56.9059</v>
      </c>
      <c r="K532" s="582">
        <f t="shared" si="48"/>
        <v>530.6339061503288</v>
      </c>
      <c r="L532" s="578">
        <v>48</v>
      </c>
      <c r="M532" s="580">
        <f>I532/L532</f>
        <v>629.0875</v>
      </c>
      <c r="N532" s="344">
        <f ca="1">IF(B532&lt;&gt;0,(ROUND((NOW()-B532)/30,0)),0)</f>
        <v>4</v>
      </c>
      <c r="O532" s="348">
        <f>(M532*N532)</f>
        <v>2516.35</v>
      </c>
      <c r="P532" s="579" t="s">
        <v>159</v>
      </c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</row>
    <row r="533" spans="2:47" s="37" customFormat="1" ht="36">
      <c r="B533" s="564">
        <v>44455</v>
      </c>
      <c r="C533" s="578" t="s">
        <v>3766</v>
      </c>
      <c r="D533" s="341" t="s">
        <v>3787</v>
      </c>
      <c r="E533" s="578" t="s">
        <v>3820</v>
      </c>
      <c r="F533" s="579" t="s">
        <v>42</v>
      </c>
      <c r="G533" s="579" t="s">
        <v>3763</v>
      </c>
      <c r="H533" s="579" t="s">
        <v>437</v>
      </c>
      <c r="I533" s="578">
        <v>18290</v>
      </c>
      <c r="J533" s="578">
        <v>56.5759</v>
      </c>
      <c r="K533" s="582">
        <f t="shared" si="48"/>
        <v>323.2825284264148</v>
      </c>
      <c r="L533" s="578">
        <v>60</v>
      </c>
      <c r="M533" s="580">
        <f>I533/L533</f>
        <v>304.8333333333333</v>
      </c>
      <c r="N533" s="344">
        <f ca="1">IF(B533&lt;&gt;0,(ROUND((NOW()-B533)/30,0)),0)</f>
        <v>4</v>
      </c>
      <c r="O533" s="348">
        <f>(M533*N533)</f>
        <v>1219.3333333333333</v>
      </c>
      <c r="P533" s="579" t="s">
        <v>3771</v>
      </c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</row>
    <row r="534" spans="2:47" s="37" customFormat="1" ht="119.25" customHeight="1">
      <c r="B534" s="564">
        <v>44476</v>
      </c>
      <c r="C534" s="578" t="s">
        <v>3792</v>
      </c>
      <c r="D534" s="341" t="s">
        <v>3793</v>
      </c>
      <c r="E534" s="578" t="s">
        <v>3795</v>
      </c>
      <c r="F534" s="579" t="s">
        <v>42</v>
      </c>
      <c r="G534" s="579" t="s">
        <v>3874</v>
      </c>
      <c r="H534" s="583" t="s">
        <v>3764</v>
      </c>
      <c r="I534" s="578">
        <v>35004.7</v>
      </c>
      <c r="J534" s="578">
        <v>56.2147</v>
      </c>
      <c r="K534" s="582">
        <f t="shared" si="48"/>
        <v>622.6965544599543</v>
      </c>
      <c r="L534" s="578">
        <v>48</v>
      </c>
      <c r="M534" s="580">
        <f>I534/L534</f>
        <v>729.2645833333332</v>
      </c>
      <c r="N534" s="344">
        <f ca="1">IF(B534&lt;&gt;0,(ROUND((NOW()-B534)/30,0)),0)</f>
        <v>3</v>
      </c>
      <c r="O534" s="348">
        <f>(M534*N534)</f>
        <v>2187.79375</v>
      </c>
      <c r="P534" s="579" t="s">
        <v>159</v>
      </c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</row>
    <row r="535" spans="2:47" s="37" customFormat="1" ht="129" customHeight="1">
      <c r="B535" s="564">
        <v>44476</v>
      </c>
      <c r="C535" s="578" t="s">
        <v>3792</v>
      </c>
      <c r="D535" s="341" t="s">
        <v>3794</v>
      </c>
      <c r="E535" s="578" t="s">
        <v>3796</v>
      </c>
      <c r="F535" s="579" t="s">
        <v>42</v>
      </c>
      <c r="G535" s="579" t="s">
        <v>3873</v>
      </c>
      <c r="H535" s="583" t="s">
        <v>3764</v>
      </c>
      <c r="I535" s="578">
        <v>16738.3</v>
      </c>
      <c r="J535" s="578">
        <v>56.2147</v>
      </c>
      <c r="K535" s="582">
        <f t="shared" si="48"/>
        <v>297.75663660928547</v>
      </c>
      <c r="L535" s="578">
        <v>48</v>
      </c>
      <c r="M535" s="580">
        <f>I535/L535</f>
        <v>348.71458333333334</v>
      </c>
      <c r="N535" s="344">
        <f ca="1">IF(B535&lt;&gt;0,(ROUND((NOW()-B535)/30,0)),0)</f>
        <v>3</v>
      </c>
      <c r="O535" s="348">
        <f>(M535*N535)</f>
        <v>1046.14375</v>
      </c>
      <c r="P535" s="579" t="s">
        <v>159</v>
      </c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</row>
    <row r="536" spans="2:47" s="37" customFormat="1" ht="5.25" customHeight="1">
      <c r="B536" s="563"/>
      <c r="C536" s="562"/>
      <c r="D536" s="562"/>
      <c r="E536" s="562"/>
      <c r="F536" s="561"/>
      <c r="G536" s="561"/>
      <c r="H536" s="304"/>
      <c r="I536" s="305"/>
      <c r="J536" s="305"/>
      <c r="K536" s="305"/>
      <c r="L536" s="303"/>
      <c r="M536" s="306"/>
      <c r="N536" s="334"/>
      <c r="O536" s="306"/>
      <c r="P536" s="307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</row>
    <row r="537" spans="2:24" s="37" customFormat="1" ht="15.75" customHeight="1" thickBot="1">
      <c r="B537" s="204"/>
      <c r="C537" s="338"/>
      <c r="D537" s="678" t="s">
        <v>335</v>
      </c>
      <c r="E537" s="678"/>
      <c r="F537" s="678"/>
      <c r="G537" s="678"/>
      <c r="H537" s="441"/>
      <c r="I537" s="442">
        <f>SUBTOTAL(9,I7:I535)</f>
        <v>28901837.61960004</v>
      </c>
      <c r="J537" s="443"/>
      <c r="K537" s="442">
        <f>SUBTOTAL(9,K7:K535)</f>
        <v>579015.0213987285</v>
      </c>
      <c r="L537" s="444"/>
      <c r="M537" s="445"/>
      <c r="N537" s="446"/>
      <c r="O537" s="447">
        <f>SUBTOTAL(9,O7:O535)</f>
        <v>6809733.843102782</v>
      </c>
      <c r="P537" s="453"/>
      <c r="T537" s="39"/>
      <c r="U537" s="39"/>
      <c r="V537" s="39"/>
      <c r="W537" s="39"/>
      <c r="X537" s="39"/>
    </row>
    <row r="538" spans="2:24" s="37" customFormat="1" ht="6.75" customHeight="1" thickTop="1">
      <c r="B538" s="60"/>
      <c r="C538" s="61"/>
      <c r="D538" s="61"/>
      <c r="E538" s="62"/>
      <c r="F538" s="61"/>
      <c r="G538" s="63"/>
      <c r="H538" s="63"/>
      <c r="I538" s="64"/>
      <c r="J538" s="39"/>
      <c r="K538" s="65"/>
      <c r="L538" s="66"/>
      <c r="M538" s="67"/>
      <c r="N538" s="68"/>
      <c r="O538" s="65"/>
      <c r="P538" s="69"/>
      <c r="T538" s="39"/>
      <c r="U538" s="39"/>
      <c r="V538" s="39"/>
      <c r="W538" s="39"/>
      <c r="X538" s="39"/>
    </row>
    <row r="539" spans="2:24" s="37" customFormat="1" ht="18.75" customHeight="1">
      <c r="B539" s="60"/>
      <c r="C539" s="61"/>
      <c r="D539" s="61"/>
      <c r="E539" s="62"/>
      <c r="F539" s="63"/>
      <c r="G539" s="63"/>
      <c r="H539" s="63"/>
      <c r="I539" s="64"/>
      <c r="J539" s="39"/>
      <c r="K539" s="65"/>
      <c r="L539" s="66"/>
      <c r="M539" s="67"/>
      <c r="N539" s="68"/>
      <c r="O539" s="65"/>
      <c r="P539" s="69"/>
      <c r="T539" s="39"/>
      <c r="U539" s="39"/>
      <c r="V539" s="39"/>
      <c r="W539" s="39"/>
      <c r="X539" s="39"/>
    </row>
    <row r="540" spans="2:24" s="37" customFormat="1" ht="15" customHeight="1" thickBot="1">
      <c r="B540" s="60"/>
      <c r="C540" s="61"/>
      <c r="D540" s="61"/>
      <c r="E540" s="62"/>
      <c r="F540" s="63"/>
      <c r="G540" s="63"/>
      <c r="H540" s="63"/>
      <c r="I540" s="64"/>
      <c r="J540" s="39"/>
      <c r="K540" s="67"/>
      <c r="L540" s="76"/>
      <c r="M540" s="67"/>
      <c r="N540" s="68"/>
      <c r="O540" s="65"/>
      <c r="P540" s="69"/>
      <c r="T540" s="39"/>
      <c r="U540" s="39"/>
      <c r="V540" s="39"/>
      <c r="W540" s="39"/>
      <c r="X540" s="39"/>
    </row>
    <row r="541" spans="2:24" s="37" customFormat="1" ht="17.25" customHeight="1" thickBot="1">
      <c r="B541" s="60"/>
      <c r="C541" s="70"/>
      <c r="D541" s="70"/>
      <c r="E541" s="62"/>
      <c r="F541" s="700" t="s">
        <v>39</v>
      </c>
      <c r="G541" s="701"/>
      <c r="H541" s="702"/>
      <c r="I541" s="71"/>
      <c r="J541" s="39"/>
      <c r="K541" s="73" t="s">
        <v>336</v>
      </c>
      <c r="L541" s="28" t="s">
        <v>816</v>
      </c>
      <c r="O541" s="65"/>
      <c r="P541" s="69"/>
      <c r="T541" s="39"/>
      <c r="U541" s="39"/>
      <c r="V541" s="39"/>
      <c r="W541" s="39"/>
      <c r="X541" s="39"/>
    </row>
    <row r="542" spans="2:24" s="37" customFormat="1" ht="26.25" thickBot="1">
      <c r="B542" s="60"/>
      <c r="C542" s="70"/>
      <c r="D542" s="70"/>
      <c r="E542" s="62"/>
      <c r="F542" s="531"/>
      <c r="G542" s="532" t="s">
        <v>40</v>
      </c>
      <c r="H542" s="533" t="s">
        <v>41</v>
      </c>
      <c r="I542" s="71"/>
      <c r="J542" s="39"/>
      <c r="K542" s="73" t="s">
        <v>531</v>
      </c>
      <c r="L542" s="74" t="s">
        <v>532</v>
      </c>
      <c r="O542" s="65"/>
      <c r="P542" s="69"/>
      <c r="T542" s="39"/>
      <c r="U542" s="39"/>
      <c r="V542" s="39"/>
      <c r="W542" s="39"/>
      <c r="X542" s="39"/>
    </row>
    <row r="543" spans="2:24" s="37" customFormat="1" ht="19.5" customHeight="1" thickBot="1">
      <c r="B543" s="60"/>
      <c r="C543" s="64"/>
      <c r="D543" s="64"/>
      <c r="E543" s="519"/>
      <c r="F543" s="520" t="s">
        <v>732</v>
      </c>
      <c r="G543" s="529">
        <f>SUBTOTAL(9,I7:I27)</f>
        <v>1105797.2500000005</v>
      </c>
      <c r="H543" s="530">
        <f>SUBTOTAL(9,K7:K27)</f>
        <v>24445.955998911817</v>
      </c>
      <c r="I543" s="78"/>
      <c r="J543" s="79"/>
      <c r="K543" s="27" t="s">
        <v>815</v>
      </c>
      <c r="L543" s="28" t="s">
        <v>3252</v>
      </c>
      <c r="O543" s="65"/>
      <c r="P543" s="69"/>
      <c r="T543" s="39"/>
      <c r="U543" s="39"/>
      <c r="V543" s="39"/>
      <c r="W543" s="39"/>
      <c r="X543" s="39"/>
    </row>
    <row r="544" spans="2:24" s="37" customFormat="1" ht="19.5" customHeight="1" thickBot="1">
      <c r="B544" s="60"/>
      <c r="C544" s="64"/>
      <c r="D544" s="64"/>
      <c r="E544" s="77"/>
      <c r="F544" s="521" t="s">
        <v>745</v>
      </c>
      <c r="G544" s="526">
        <v>0</v>
      </c>
      <c r="H544" s="528">
        <v>0</v>
      </c>
      <c r="I544" s="78"/>
      <c r="J544" s="79"/>
      <c r="K544" s="78"/>
      <c r="L544" s="79"/>
      <c r="M544" s="73"/>
      <c r="N544" s="74"/>
      <c r="O544" s="65"/>
      <c r="P544" s="69"/>
      <c r="T544" s="39"/>
      <c r="U544" s="39"/>
      <c r="V544" s="39"/>
      <c r="W544" s="39"/>
      <c r="X544" s="39"/>
    </row>
    <row r="545" spans="2:24" s="37" customFormat="1" ht="19.5" customHeight="1" thickBot="1">
      <c r="B545" s="60"/>
      <c r="C545" s="64"/>
      <c r="D545" s="64"/>
      <c r="E545" s="77"/>
      <c r="F545" s="521" t="s">
        <v>797</v>
      </c>
      <c r="G545" s="527">
        <f>SUBTOTAL(9,I28:I172)</f>
        <v>14039946.908999996</v>
      </c>
      <c r="H545" s="526">
        <f>SUBTOTAL(9,K28:K172)</f>
        <v>292236.2673240393</v>
      </c>
      <c r="I545" s="36" t="s">
        <v>3719</v>
      </c>
      <c r="J545" s="78"/>
      <c r="K545" s="79"/>
      <c r="L545" s="79"/>
      <c r="M545" s="79"/>
      <c r="N545" s="65"/>
      <c r="O545" s="62"/>
      <c r="P545" s="39"/>
      <c r="T545" s="39"/>
      <c r="U545" s="39"/>
      <c r="V545" s="39"/>
      <c r="W545" s="39"/>
      <c r="X545" s="39"/>
    </row>
    <row r="546" spans="2:24" s="37" customFormat="1" ht="19.5" customHeight="1" thickBot="1">
      <c r="B546" s="60"/>
      <c r="C546" s="64"/>
      <c r="D546" s="64"/>
      <c r="E546" s="77"/>
      <c r="F546" s="521" t="s">
        <v>818</v>
      </c>
      <c r="G546" s="527">
        <f>SUBTOTAL(9,I173:I307)</f>
        <v>6605486.9010000015</v>
      </c>
      <c r="H546" s="526">
        <f>SUBTOTAL(9,K173:K307)</f>
        <v>134397.373975094</v>
      </c>
      <c r="J546" s="78"/>
      <c r="K546" s="79"/>
      <c r="L546" s="79"/>
      <c r="M546" s="79"/>
      <c r="N546" s="65"/>
      <c r="O546" s="62"/>
      <c r="P546" s="39"/>
      <c r="T546" s="39"/>
      <c r="U546" s="39"/>
      <c r="V546" s="39"/>
      <c r="W546" s="39"/>
      <c r="X546" s="39"/>
    </row>
    <row r="547" spans="2:24" s="37" customFormat="1" ht="19.5" customHeight="1" thickBot="1">
      <c r="B547" s="60"/>
      <c r="C547" s="64"/>
      <c r="D547" s="64"/>
      <c r="E547" s="77"/>
      <c r="F547" s="522" t="s">
        <v>2700</v>
      </c>
      <c r="G547" s="523">
        <f>SUM(I308:I403)</f>
        <v>1851493.3</v>
      </c>
      <c r="H547" s="526">
        <f>SUM(K308:K403)</f>
        <v>35460.31531928559</v>
      </c>
      <c r="I547" s="36"/>
      <c r="J547" s="78"/>
      <c r="K547" s="79"/>
      <c r="L547" s="79"/>
      <c r="M547" s="79"/>
      <c r="N547" s="65"/>
      <c r="O547" s="62"/>
      <c r="P547" s="39"/>
      <c r="T547" s="39"/>
      <c r="U547" s="39"/>
      <c r="V547" s="39"/>
      <c r="W547" s="39"/>
      <c r="X547" s="39"/>
    </row>
    <row r="548" spans="2:24" s="37" customFormat="1" ht="19.5" customHeight="1" thickBot="1">
      <c r="B548" s="60"/>
      <c r="C548" s="64"/>
      <c r="D548" s="64"/>
      <c r="E548" s="77"/>
      <c r="F548" s="522" t="s">
        <v>3307</v>
      </c>
      <c r="G548" s="526">
        <f>SUM(I404:I441)</f>
        <v>2071795.2896000003</v>
      </c>
      <c r="H548" s="525">
        <f>SUM(K404:K441)</f>
        <v>36381.775425564134</v>
      </c>
      <c r="I548" s="36" t="s">
        <v>3518</v>
      </c>
      <c r="J548" s="78"/>
      <c r="K548" s="79"/>
      <c r="L548" s="79"/>
      <c r="M548" s="79"/>
      <c r="N548" s="65"/>
      <c r="O548" s="62"/>
      <c r="P548" s="39"/>
      <c r="T548" s="39"/>
      <c r="U548" s="39"/>
      <c r="V548" s="39"/>
      <c r="W548" s="39"/>
      <c r="X548" s="39"/>
    </row>
    <row r="549" spans="2:24" s="37" customFormat="1" ht="19.5" customHeight="1" thickBot="1">
      <c r="B549" s="60"/>
      <c r="C549" s="64"/>
      <c r="D549" s="64"/>
      <c r="E549" s="77"/>
      <c r="F549" s="522" t="s">
        <v>3573</v>
      </c>
      <c r="G549" s="523">
        <f>SUM(I442:I535)</f>
        <v>3227317.970000001</v>
      </c>
      <c r="H549" s="524">
        <f>SUM(K442:K535)</f>
        <v>56093.33335583631</v>
      </c>
      <c r="I549" s="36"/>
      <c r="J549" s="78"/>
      <c r="K549" s="79"/>
      <c r="L549" s="79"/>
      <c r="M549" s="79"/>
      <c r="N549" s="65"/>
      <c r="O549" s="62"/>
      <c r="P549" s="39"/>
      <c r="T549" s="39"/>
      <c r="U549" s="39"/>
      <c r="V549" s="39"/>
      <c r="W549" s="39"/>
      <c r="X549" s="39"/>
    </row>
    <row r="550" spans="2:24" s="37" customFormat="1" ht="18.75" customHeight="1" thickBot="1">
      <c r="B550" s="60"/>
      <c r="C550" s="70"/>
      <c r="D550" s="70"/>
      <c r="E550" s="62"/>
      <c r="F550" s="535" t="s">
        <v>345</v>
      </c>
      <c r="G550" s="536">
        <f>SUM(G543:G549)</f>
        <v>28901837.6196</v>
      </c>
      <c r="H550" s="534">
        <f>SUM(H543:H549)</f>
        <v>579015.0213987312</v>
      </c>
      <c r="I550" s="80"/>
      <c r="K550" s="81"/>
      <c r="L550" s="39"/>
      <c r="M550" s="39"/>
      <c r="N550" s="39"/>
      <c r="O550" s="39"/>
      <c r="P550" s="69"/>
      <c r="T550" s="39"/>
      <c r="U550" s="39"/>
      <c r="V550" s="39"/>
      <c r="W550" s="39"/>
      <c r="X550" s="39"/>
    </row>
    <row r="551" spans="2:24" s="37" customFormat="1" ht="12.75">
      <c r="B551" s="60"/>
      <c r="C551" s="70"/>
      <c r="D551" s="70"/>
      <c r="E551" s="62"/>
      <c r="F551" s="82"/>
      <c r="G551" s="83"/>
      <c r="H551" s="83"/>
      <c r="I551" s="80"/>
      <c r="J551" s="39"/>
      <c r="K551" s="39"/>
      <c r="L551" s="39"/>
      <c r="M551" s="39"/>
      <c r="N551" s="39"/>
      <c r="O551" s="39"/>
      <c r="P551" s="69"/>
      <c r="T551" s="39"/>
      <c r="U551" s="39"/>
      <c r="V551" s="39"/>
      <c r="W551" s="39"/>
      <c r="X551" s="39"/>
    </row>
    <row r="552" spans="2:24" s="37" customFormat="1" ht="12.75">
      <c r="B552" s="92"/>
      <c r="C552" s="93"/>
      <c r="D552" s="93"/>
      <c r="F552" s="94"/>
      <c r="G552" s="95"/>
      <c r="H552" s="95"/>
      <c r="I552" s="96"/>
      <c r="J552" s="97"/>
      <c r="K552" s="97"/>
      <c r="L552" s="97"/>
      <c r="M552" s="97"/>
      <c r="N552" s="97"/>
      <c r="O552" s="97"/>
      <c r="P552" s="98"/>
      <c r="T552" s="39"/>
      <c r="U552" s="39"/>
      <c r="V552" s="39"/>
      <c r="W552" s="39"/>
      <c r="X552" s="39"/>
    </row>
    <row r="553" spans="2:24" s="37" customFormat="1" ht="3.75" customHeight="1">
      <c r="B553" s="99"/>
      <c r="C553" s="100"/>
      <c r="D553" s="100"/>
      <c r="E553" s="101"/>
      <c r="F553" s="102"/>
      <c r="G553" s="103"/>
      <c r="H553" s="103"/>
      <c r="I553" s="104"/>
      <c r="J553" s="105"/>
      <c r="K553" s="105"/>
      <c r="L553" s="105"/>
      <c r="M553" s="105"/>
      <c r="N553" s="105"/>
      <c r="O553" s="105"/>
      <c r="P553" s="106"/>
      <c r="T553" s="39"/>
      <c r="U553" s="39"/>
      <c r="V553" s="39"/>
      <c r="W553" s="39"/>
      <c r="X553" s="39"/>
    </row>
    <row r="554" spans="2:24" s="112" customFormat="1" ht="15">
      <c r="B554" s="502" t="s">
        <v>334</v>
      </c>
      <c r="C554" s="107"/>
      <c r="D554" s="107"/>
      <c r="E554" s="108"/>
      <c r="F554" s="109"/>
      <c r="G554" s="684" t="s">
        <v>511</v>
      </c>
      <c r="H554" s="684"/>
      <c r="I554" s="110"/>
      <c r="J554" s="684" t="s">
        <v>65</v>
      </c>
      <c r="K554" s="684"/>
      <c r="L554" s="684"/>
      <c r="M554" s="684"/>
      <c r="N554" s="111"/>
      <c r="O554" s="684" t="s">
        <v>65</v>
      </c>
      <c r="P554" s="685"/>
      <c r="T554" s="113"/>
      <c r="U554" s="113"/>
      <c r="V554" s="113"/>
      <c r="W554" s="113"/>
      <c r="X554" s="113"/>
    </row>
    <row r="555" spans="2:24" s="37" customFormat="1" ht="12.75">
      <c r="B555" s="60"/>
      <c r="C555" s="70"/>
      <c r="D555" s="70"/>
      <c r="E555" s="77"/>
      <c r="F555" s="114"/>
      <c r="G555" s="83"/>
      <c r="H555" s="83"/>
      <c r="I555" s="80"/>
      <c r="J555" s="39"/>
      <c r="K555" s="39"/>
      <c r="L555" s="39"/>
      <c r="M555" s="83"/>
      <c r="N555" s="39"/>
      <c r="O555" s="39"/>
      <c r="P555" s="69"/>
      <c r="T555" s="39"/>
      <c r="U555" s="39"/>
      <c r="V555" s="39"/>
      <c r="W555" s="39"/>
      <c r="X555" s="39"/>
    </row>
    <row r="556" spans="2:24" s="37" customFormat="1" ht="14.25">
      <c r="B556" s="60"/>
      <c r="C556" s="70"/>
      <c r="D556" s="70"/>
      <c r="E556" s="115"/>
      <c r="F556" s="91"/>
      <c r="G556" s="83"/>
      <c r="H556" s="83"/>
      <c r="I556" s="80"/>
      <c r="J556" s="39"/>
      <c r="K556" s="39"/>
      <c r="L556" s="39"/>
      <c r="M556" s="83"/>
      <c r="N556" s="39"/>
      <c r="O556" s="39"/>
      <c r="P556" s="69"/>
      <c r="T556" s="39"/>
      <c r="U556" s="39"/>
      <c r="V556" s="39"/>
      <c r="W556" s="39"/>
      <c r="X556" s="39"/>
    </row>
    <row r="557" spans="1:24" s="37" customFormat="1" ht="12.75">
      <c r="A557" s="273"/>
      <c r="B557" s="499"/>
      <c r="C557" s="70" t="s">
        <v>3747</v>
      </c>
      <c r="D557" s="70"/>
      <c r="E557" s="62"/>
      <c r="F557" s="117"/>
      <c r="G557" s="95"/>
      <c r="H557" s="95"/>
      <c r="I557" s="80"/>
      <c r="J557" s="97"/>
      <c r="K557" s="97"/>
      <c r="L557" s="97"/>
      <c r="M557" s="95"/>
      <c r="N557" s="39"/>
      <c r="O557" s="97"/>
      <c r="P557" s="98"/>
      <c r="T557" s="39"/>
      <c r="U557" s="39"/>
      <c r="V557" s="39"/>
      <c r="W557" s="39"/>
      <c r="X557" s="39"/>
    </row>
    <row r="558" spans="2:24" s="119" customFormat="1" ht="15">
      <c r="B558" s="507" t="s">
        <v>3738</v>
      </c>
      <c r="C558" s="118"/>
      <c r="D558" s="118"/>
      <c r="E558" s="118"/>
      <c r="F558" s="118"/>
      <c r="G558" s="686" t="s">
        <v>639</v>
      </c>
      <c r="H558" s="686"/>
      <c r="I558" s="120"/>
      <c r="J558" s="686" t="s">
        <v>3510</v>
      </c>
      <c r="K558" s="686"/>
      <c r="L558" s="686"/>
      <c r="M558" s="686"/>
      <c r="N558" s="118"/>
      <c r="O558" s="686" t="s">
        <v>2610</v>
      </c>
      <c r="P558" s="687"/>
      <c r="T558" s="120"/>
      <c r="U558" s="120"/>
      <c r="V558" s="120"/>
      <c r="W558" s="120"/>
      <c r="X558" s="120"/>
    </row>
    <row r="559" spans="2:24" s="37" customFormat="1" ht="13.5" customHeight="1">
      <c r="B559" s="585" t="s">
        <v>3508</v>
      </c>
      <c r="C559" s="584"/>
      <c r="D559" s="121"/>
      <c r="E559" s="121"/>
      <c r="F559" s="121"/>
      <c r="G559" s="698" t="s">
        <v>640</v>
      </c>
      <c r="H559" s="698"/>
      <c r="I559" s="247"/>
      <c r="J559" s="698" t="s">
        <v>3511</v>
      </c>
      <c r="K559" s="698"/>
      <c r="L559" s="698"/>
      <c r="M559" s="698"/>
      <c r="N559" s="467"/>
      <c r="O559" s="698" t="s">
        <v>3579</v>
      </c>
      <c r="P559" s="699"/>
      <c r="T559" s="39"/>
      <c r="U559" s="39"/>
      <c r="V559" s="39"/>
      <c r="W559" s="39"/>
      <c r="X559" s="39"/>
    </row>
    <row r="560" spans="2:24" s="37" customFormat="1" ht="13.5" customHeight="1">
      <c r="B560" s="510" t="s">
        <v>3710</v>
      </c>
      <c r="C560" s="93"/>
      <c r="D560" s="93"/>
      <c r="E560" s="116"/>
      <c r="F560" s="94"/>
      <c r="G560" s="95"/>
      <c r="H560" s="95"/>
      <c r="I560" s="96"/>
      <c r="J560" s="278"/>
      <c r="K560" s="278"/>
      <c r="L560" s="278"/>
      <c r="M560" s="278"/>
      <c r="N560" s="278"/>
      <c r="O560" s="278"/>
      <c r="P560" s="279"/>
      <c r="T560" s="39"/>
      <c r="U560" s="39"/>
      <c r="V560" s="39"/>
      <c r="W560" s="39"/>
      <c r="X560" s="39"/>
    </row>
    <row r="562" ht="12.75">
      <c r="G562" s="124"/>
    </row>
    <row r="563" spans="11:12" ht="15">
      <c r="K563" s="36"/>
      <c r="L563" s="16"/>
    </row>
    <row r="564" spans="7:12" ht="15">
      <c r="G564" s="126"/>
      <c r="H564" s="127"/>
      <c r="K564" s="16"/>
      <c r="L564" s="36"/>
    </row>
    <row r="565" ht="12.75">
      <c r="H565" s="127"/>
    </row>
    <row r="566" spans="8:9" ht="12.75">
      <c r="H566" s="127"/>
      <c r="I566" s="128"/>
    </row>
    <row r="567" ht="12.75">
      <c r="H567" s="127"/>
    </row>
    <row r="568" spans="5:8" ht="12.75">
      <c r="E568" s="129"/>
      <c r="H568" s="127"/>
    </row>
    <row r="569" ht="12.75">
      <c r="H569" s="127"/>
    </row>
    <row r="570" ht="12.75">
      <c r="H570" s="127"/>
    </row>
    <row r="571" ht="12.75">
      <c r="H571" s="127"/>
    </row>
    <row r="572" ht="12.75">
      <c r="H572" s="127"/>
    </row>
  </sheetData>
  <sheetProtection/>
  <mergeCells count="11">
    <mergeCell ref="O554:P554"/>
    <mergeCell ref="G558:H558"/>
    <mergeCell ref="J558:M558"/>
    <mergeCell ref="O558:P558"/>
    <mergeCell ref="D537:G537"/>
    <mergeCell ref="G559:H559"/>
    <mergeCell ref="J559:M559"/>
    <mergeCell ref="O559:P559"/>
    <mergeCell ref="F541:H541"/>
    <mergeCell ref="G554:H554"/>
    <mergeCell ref="J554:M55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0" orientation="landscape" scale="67" r:id="rId2"/>
  <headerFooter alignWithMargins="0">
    <oddHeader>&amp;R
</oddHeader>
    <oddFooter>&amp;C&amp;"Arial,Negrita"Pág. &amp;P - 54</oddFooter>
  </headerFooter>
  <rowBreaks count="53" manualBreakCount="53">
    <brk id="16" min="1" max="15" man="1"/>
    <brk id="28" min="1" max="15" man="1"/>
    <brk id="40" min="1" max="15" man="1"/>
    <brk id="50" min="1" max="15" man="1"/>
    <brk id="57" min="1" max="15" man="1"/>
    <brk id="64" min="1" max="15" man="1"/>
    <brk id="73" min="1" max="15" man="1"/>
    <brk id="82" min="1" max="15" man="1"/>
    <brk id="91" min="1" max="15" man="1"/>
    <brk id="100" min="1" max="15" man="1"/>
    <brk id="108" min="1" max="15" man="1"/>
    <brk id="115" min="1" max="15" man="1"/>
    <brk id="123" min="1" max="15" man="1"/>
    <brk id="131" min="1" max="15" man="1"/>
    <brk id="138" min="1" max="15" man="1"/>
    <brk id="146" min="1" max="15" man="1"/>
    <brk id="154" min="1" max="15" man="1"/>
    <brk id="162" min="1" max="15" man="1"/>
    <brk id="173" min="1" max="15" man="1"/>
    <brk id="182" min="1" max="15" man="1"/>
    <brk id="190" min="1" max="15" man="1"/>
    <brk id="199" min="1" max="15" man="1"/>
    <brk id="207" min="1" max="15" man="1"/>
    <brk id="215" min="1" max="15" man="1"/>
    <brk id="224" min="1" max="15" man="1"/>
    <brk id="235" min="1" max="15" man="1"/>
    <brk id="246" min="1" max="15" man="1"/>
    <brk id="259" min="1" max="15" man="1"/>
    <brk id="273" min="1" max="15" man="1"/>
    <brk id="284" min="1" max="15" man="1"/>
    <brk id="296" min="1" max="15" man="1"/>
    <brk id="309" min="1" max="15" man="1"/>
    <brk id="322" min="1" max="15" man="1"/>
    <brk id="335" min="1" max="15" man="1"/>
    <brk id="345" min="1" max="15" man="1"/>
    <brk id="356" min="1" max="15" man="1"/>
    <brk id="368" min="1" max="15" man="1"/>
    <brk id="379" min="1" max="15" man="1"/>
    <brk id="389" min="1" max="15" man="1"/>
    <brk id="400" min="1" max="15" man="1"/>
    <brk id="412" min="1" max="15" man="1"/>
    <brk id="425" min="1" max="15" man="1"/>
    <brk id="435" min="1" max="15" man="1"/>
    <brk id="443" min="1" max="15" man="1"/>
    <brk id="452" min="1" max="15" man="1"/>
    <brk id="465" min="1" max="15" man="1"/>
    <brk id="477" min="1" max="15" man="1"/>
    <brk id="484" min="1" max="15" man="1"/>
    <brk id="493" min="1" max="15" man="1"/>
    <brk id="501" min="1" max="15" man="1"/>
    <brk id="512" min="1" max="15" man="1"/>
    <brk id="526" min="1" max="15" man="1"/>
    <brk id="537" min="1" max="15" man="1"/>
  </rowBreaks>
  <ignoredErrors>
    <ignoredError sqref="B434" twoDigitTextYear="1"/>
    <ignoredError sqref="K446:K457 M446:M458 O537 M461:M470 M532:M533 M459:M460 M534:M535 M471:M531" unlockedFormula="1"/>
    <ignoredError sqref="G549" formulaRange="1"/>
    <ignoredError sqref="F117:F1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INSPIRON 1501</dc:creator>
  <cp:keywords/>
  <dc:description/>
  <cp:lastModifiedBy>Wanda Yanet Medina García</cp:lastModifiedBy>
  <cp:lastPrinted>2022-01-04T13:42:29Z</cp:lastPrinted>
  <dcterms:created xsi:type="dcterms:W3CDTF">2007-02-21T19:42:44Z</dcterms:created>
  <dcterms:modified xsi:type="dcterms:W3CDTF">2022-01-04T19:15:32Z</dcterms:modified>
  <cp:category/>
  <cp:version/>
  <cp:contentType/>
  <cp:contentStatus/>
</cp:coreProperties>
</file>